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backupFile="1"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537e006391448b8/Documents/동부교회 회계장부/작업완료(NEW)/"/>
    </mc:Choice>
  </mc:AlternateContent>
  <xr:revisionPtr revIDLastSave="20" documentId="8_{CA27E1B5-5957-4007-BC55-BFBF6C00F1EF}" xr6:coauthVersionLast="45" xr6:coauthVersionMax="45" xr10:uidLastSave="{1437E5B7-5A94-481F-BABC-CC0E02D12A2C}"/>
  <bookViews>
    <workbookView xWindow="-120" yWindow="-120" windowWidth="29040" windowHeight="15840" tabRatio="1000" xr2:uid="{00000000-000D-0000-FFFF-FFFF00000000}"/>
  </bookViews>
  <sheets>
    <sheet name="회계장부" sheetId="2" r:id="rId1"/>
    <sheet name="결의서" sheetId="1" r:id="rId2"/>
    <sheet name="월별누계" sheetId="29" r:id="rId3"/>
    <sheet name="회계보고서" sheetId="35" r:id="rId4"/>
    <sheet name="검산서(상반기)" sheetId="34" r:id="rId5"/>
    <sheet name="검산서(하반기)" sheetId="33" r:id="rId6"/>
    <sheet name="회계코드" sheetId="7" r:id="rId7"/>
  </sheets>
  <definedNames>
    <definedName name="_xlnm._FilterDatabase" localSheetId="0" hidden="1">회계장부!$J$1:$J$3</definedName>
    <definedName name="_xlnm._FilterDatabase" localSheetId="6" hidden="1">회계코드!#REF!</definedName>
    <definedName name="_xlnm.Print_Area" localSheetId="4">'검산서(상반기)'!$A$1:$M$29</definedName>
    <definedName name="_xlnm.Print_Area" localSheetId="1">결의서!$A$1:$H$29</definedName>
    <definedName name="_xlnm.Print_Area" localSheetId="3">회계보고서!$A$1:$H$36</definedName>
    <definedName name="관">회계장부!$I:$I</definedName>
    <definedName name="기준일자">결의서!$B$3</definedName>
    <definedName name="기준일자_시작일">회계보고서!$K$3</definedName>
    <definedName name="기준일자_종료일">회계보고서!$K$4</definedName>
    <definedName name="부서명">회계코드!$B$1</definedName>
    <definedName name="수입">회계장부!$C:$C</definedName>
    <definedName name="전년도이월금">회계코드!$A$4</definedName>
    <definedName name="지출">회계장부!$D:$D</definedName>
    <definedName name="지출관정렬">회계코드!$C$32:$D$103</definedName>
    <definedName name="지출항목">OFFSET(회계코드!$A$12,,,1,COUNTA(회계코드!$A$12:$L$12))</definedName>
    <definedName name="지출항목정렬">회계코드!$A$32:$B$103</definedName>
    <definedName name="항목">회계장부!$J:$J</definedName>
    <definedName name="헌금_회비">회계코드!$B$4:$B$7</definedName>
    <definedName name="회계월">회계장부!$L:$L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33" l="1"/>
  <c r="B3" i="34"/>
  <c r="A3" i="35"/>
  <c r="C1" i="7"/>
  <c r="L21" i="7" l="1"/>
  <c r="K21" i="7"/>
  <c r="J21" i="7"/>
  <c r="I21" i="7"/>
  <c r="H21" i="7"/>
  <c r="G21" i="7"/>
  <c r="F21" i="7"/>
  <c r="E21" i="7"/>
  <c r="D21" i="7"/>
  <c r="C21" i="7"/>
  <c r="B21" i="7"/>
  <c r="A21" i="7"/>
  <c r="A103" i="7"/>
  <c r="A102" i="7"/>
  <c r="A101" i="7"/>
  <c r="A100" i="7"/>
  <c r="A99" i="7"/>
  <c r="A97" i="7"/>
  <c r="A96" i="7"/>
  <c r="A95" i="7"/>
  <c r="A91" i="7"/>
  <c r="A90" i="7"/>
  <c r="A89" i="7"/>
  <c r="A88" i="7"/>
  <c r="A85" i="7"/>
  <c r="A84" i="7"/>
  <c r="A83" i="7"/>
  <c r="A82" i="7"/>
  <c r="A79" i="7"/>
  <c r="A78" i="7"/>
  <c r="A77" i="7"/>
  <c r="A76" i="7"/>
  <c r="A73" i="7"/>
  <c r="A72" i="7"/>
  <c r="A71" i="7"/>
  <c r="A70" i="7"/>
  <c r="A67" i="7"/>
  <c r="A66" i="7"/>
  <c r="A65" i="7"/>
  <c r="A64" i="7"/>
  <c r="A61" i="7"/>
  <c r="A60" i="7"/>
  <c r="A59" i="7"/>
  <c r="A57" i="7"/>
  <c r="A55" i="7"/>
  <c r="A54" i="7"/>
  <c r="A53" i="7"/>
  <c r="A49" i="7"/>
  <c r="A48" i="7"/>
  <c r="A43" i="7"/>
  <c r="A42" i="7"/>
  <c r="A41" i="7"/>
  <c r="A40" i="7"/>
  <c r="A36" i="7"/>
  <c r="A37" i="7"/>
  <c r="B20" i="7"/>
  <c r="C20" i="7"/>
  <c r="D20" i="7"/>
  <c r="E20" i="7"/>
  <c r="F20" i="7"/>
  <c r="G20" i="7"/>
  <c r="H20" i="7"/>
  <c r="I20" i="7"/>
  <c r="J20" i="7"/>
  <c r="K20" i="7"/>
  <c r="L20" i="7"/>
  <c r="A20" i="7"/>
  <c r="A31" i="7"/>
  <c r="A32" i="7" s="1"/>
  <c r="B99" i="7"/>
  <c r="B100" i="7"/>
  <c r="B101" i="7"/>
  <c r="B102" i="7"/>
  <c r="B103" i="7"/>
  <c r="B98" i="7"/>
  <c r="B93" i="7"/>
  <c r="B94" i="7"/>
  <c r="B95" i="7"/>
  <c r="B96" i="7"/>
  <c r="B97" i="7"/>
  <c r="B92" i="7"/>
  <c r="B87" i="7"/>
  <c r="B88" i="7"/>
  <c r="B89" i="7"/>
  <c r="B90" i="7"/>
  <c r="B91" i="7"/>
  <c r="B86" i="7"/>
  <c r="B81" i="7"/>
  <c r="B82" i="7"/>
  <c r="B83" i="7"/>
  <c r="B84" i="7"/>
  <c r="B85" i="7"/>
  <c r="B80" i="7"/>
  <c r="B75" i="7"/>
  <c r="B76" i="7"/>
  <c r="B77" i="7"/>
  <c r="B78" i="7"/>
  <c r="B79" i="7"/>
  <c r="B74" i="7"/>
  <c r="B69" i="7"/>
  <c r="B70" i="7"/>
  <c r="B71" i="7"/>
  <c r="B72" i="7"/>
  <c r="B73" i="7"/>
  <c r="B68" i="7"/>
  <c r="B63" i="7"/>
  <c r="B64" i="7"/>
  <c r="B65" i="7"/>
  <c r="B66" i="7"/>
  <c r="B67" i="7"/>
  <c r="B62" i="7"/>
  <c r="B57" i="7"/>
  <c r="B58" i="7"/>
  <c r="B59" i="7"/>
  <c r="B60" i="7"/>
  <c r="B61" i="7"/>
  <c r="B56" i="7"/>
  <c r="B51" i="7"/>
  <c r="B52" i="7"/>
  <c r="B53" i="7"/>
  <c r="B54" i="7"/>
  <c r="B55" i="7"/>
  <c r="B50" i="7"/>
  <c r="B48" i="7"/>
  <c r="B49" i="7"/>
  <c r="B45" i="7"/>
  <c r="B46" i="7"/>
  <c r="B47" i="7"/>
  <c r="B44" i="7"/>
  <c r="B43" i="7"/>
  <c r="B42" i="7"/>
  <c r="B41" i="7"/>
  <c r="B40" i="7"/>
  <c r="B39" i="7"/>
  <c r="B38" i="7"/>
  <c r="B33" i="7"/>
  <c r="B34" i="7"/>
  <c r="B35" i="7"/>
  <c r="B36" i="7"/>
  <c r="B37" i="7"/>
  <c r="B32" i="7"/>
  <c r="B11" i="7" l="1"/>
  <c r="A1" i="35" s="1"/>
  <c r="A33" i="7"/>
  <c r="A34" i="7" s="1"/>
  <c r="A35" i="7" s="1"/>
  <c r="C18" i="33"/>
  <c r="C16" i="33"/>
  <c r="C14" i="33"/>
  <c r="C12" i="33"/>
  <c r="C10" i="33"/>
  <c r="C8" i="33"/>
  <c r="D18" i="33"/>
  <c r="D16" i="33"/>
  <c r="D14" i="33"/>
  <c r="D12" i="33"/>
  <c r="D10" i="33"/>
  <c r="D8" i="33"/>
  <c r="D18" i="34"/>
  <c r="D16" i="34"/>
  <c r="D14" i="34"/>
  <c r="D12" i="34"/>
  <c r="D10" i="34"/>
  <c r="D8" i="34"/>
  <c r="C18" i="34"/>
  <c r="C16" i="34"/>
  <c r="C14" i="34"/>
  <c r="C12" i="34"/>
  <c r="C10" i="34"/>
  <c r="C8" i="34"/>
  <c r="C14" i="35"/>
  <c r="C13" i="35"/>
  <c r="C12" i="35"/>
  <c r="C11" i="35"/>
  <c r="C10" i="35"/>
  <c r="C9" i="35"/>
  <c r="C8" i="35"/>
  <c r="C7" i="35"/>
  <c r="C6" i="35"/>
  <c r="D32" i="7" l="1"/>
  <c r="A38" i="7"/>
  <c r="A39" i="7" s="1"/>
  <c r="D8" i="35"/>
  <c r="D12" i="35"/>
  <c r="D6" i="35"/>
  <c r="J13" i="1"/>
  <c r="L3" i="2"/>
  <c r="G3" i="2"/>
  <c r="H3" i="2" s="1"/>
  <c r="L2" i="2"/>
  <c r="G2" i="2"/>
  <c r="E2" i="2"/>
  <c r="D38" i="7" l="1"/>
  <c r="C38" i="7"/>
  <c r="A44" i="7"/>
  <c r="A45" i="7" s="1"/>
  <c r="A46" i="7"/>
  <c r="A47" i="7"/>
  <c r="C32" i="7"/>
  <c r="E6" i="35" s="1"/>
  <c r="E16" i="34"/>
  <c r="E8" i="34"/>
  <c r="E12" i="33"/>
  <c r="E14" i="34"/>
  <c r="E18" i="33"/>
  <c r="E10" i="33"/>
  <c r="E12" i="34"/>
  <c r="E16" i="33"/>
  <c r="E8" i="33"/>
  <c r="E18" i="34"/>
  <c r="E10" i="34"/>
  <c r="E14" i="33"/>
  <c r="K2" i="2"/>
  <c r="H2" i="2"/>
  <c r="E3" i="2"/>
  <c r="K15" i="1"/>
  <c r="L15" i="1"/>
  <c r="K3" i="2"/>
  <c r="C44" i="7" l="1"/>
  <c r="A50" i="7"/>
  <c r="A51" i="7" s="1"/>
  <c r="A52" i="7" s="1"/>
  <c r="D44" i="7"/>
  <c r="A2" i="1"/>
  <c r="L16" i="1" a="1"/>
  <c r="L16" i="1" s="1"/>
  <c r="K16" i="1" a="1"/>
  <c r="K16" i="1" s="1"/>
  <c r="K17" i="1" s="1" a="1"/>
  <c r="K17" i="1" s="1"/>
  <c r="K18" i="1" s="1" a="1"/>
  <c r="K18" i="1" s="1"/>
  <c r="K19" i="1" s="1" a="1"/>
  <c r="K19" i="1" s="1"/>
  <c r="K20" i="1" s="1" a="1"/>
  <c r="K20" i="1" s="1"/>
  <c r="A56" i="7" l="1"/>
  <c r="D50" i="7"/>
  <c r="C50" i="7"/>
  <c r="K21" i="1" a="1"/>
  <c r="K21" i="1" s="1"/>
  <c r="B11" i="1" s="1"/>
  <c r="D10" i="1"/>
  <c r="L17" i="1" a="1"/>
  <c r="L17" i="1" s="1"/>
  <c r="D21" i="1" s="1"/>
  <c r="D20" i="1"/>
  <c r="B20" i="1"/>
  <c r="D6" i="1"/>
  <c r="B6" i="1"/>
  <c r="A58" i="7" l="1"/>
  <c r="A62" i="7" s="1"/>
  <c r="A63" i="7" s="1"/>
  <c r="K22" i="1" a="1"/>
  <c r="K22" i="1" s="1"/>
  <c r="K23" i="1" s="1" a="1"/>
  <c r="K23" i="1" s="1"/>
  <c r="K24" i="1" s="1" a="1"/>
  <c r="K24" i="1" s="1"/>
  <c r="K25" i="1" s="1" a="1"/>
  <c r="K25" i="1" s="1"/>
  <c r="K26" i="1" s="1" a="1"/>
  <c r="K26" i="1" s="1"/>
  <c r="K27" i="1" s="1" a="1"/>
  <c r="K27" i="1" s="1"/>
  <c r="K28" i="1" s="1" a="1"/>
  <c r="K28" i="1" s="1"/>
  <c r="K29" i="1" s="1" a="1"/>
  <c r="K29" i="1" s="1"/>
  <c r="K30" i="1" s="1" a="1"/>
  <c r="K30" i="1" s="1"/>
  <c r="K31" i="1" s="1" a="1"/>
  <c r="K31" i="1" s="1"/>
  <c r="K32" i="1" s="1" a="1"/>
  <c r="K32" i="1" s="1"/>
  <c r="L18" i="1" a="1"/>
  <c r="L18" i="1" s="1"/>
  <c r="D22" i="1" s="1"/>
  <c r="B21" i="1"/>
  <c r="D7" i="1"/>
  <c r="B7" i="1"/>
  <c r="B8" i="1"/>
  <c r="D8" i="1"/>
  <c r="D56" i="7" l="1"/>
  <c r="C56" i="7"/>
  <c r="D62" i="7"/>
  <c r="C62" i="7"/>
  <c r="A68" i="7"/>
  <c r="B22" i="1"/>
  <c r="L19" i="1" a="1"/>
  <c r="L19" i="1" s="1"/>
  <c r="D23" i="1" s="1"/>
  <c r="B9" i="1"/>
  <c r="D9" i="1"/>
  <c r="A69" i="7" l="1"/>
  <c r="C68" i="7" s="1"/>
  <c r="L20" i="1" a="1"/>
  <c r="L20" i="1" s="1"/>
  <c r="D24" i="1" s="1"/>
  <c r="B23" i="1"/>
  <c r="D11" i="1"/>
  <c r="B10" i="1"/>
  <c r="A74" i="7" l="1"/>
  <c r="D68" i="7"/>
  <c r="B24" i="1"/>
  <c r="L21" i="1" a="1"/>
  <c r="L21" i="1" s="1"/>
  <c r="D25" i="1" s="1"/>
  <c r="B12" i="1"/>
  <c r="D12" i="1"/>
  <c r="A75" i="7" l="1"/>
  <c r="A80" i="7" s="1"/>
  <c r="L22" i="1" a="1"/>
  <c r="L22" i="1" s="1"/>
  <c r="H20" i="1" s="1"/>
  <c r="B25" i="1"/>
  <c r="D13" i="1"/>
  <c r="B13" i="1"/>
  <c r="D74" i="7" l="1"/>
  <c r="A81" i="7"/>
  <c r="A86" i="7" s="1"/>
  <c r="C74" i="7"/>
  <c r="F15" i="35"/>
  <c r="G15" i="35" s="1"/>
  <c r="F7" i="35"/>
  <c r="G7" i="35" s="1"/>
  <c r="F10" i="35"/>
  <c r="G10" i="35" s="1"/>
  <c r="F11" i="35"/>
  <c r="G11" i="35" s="1"/>
  <c r="F6" i="35"/>
  <c r="G6" i="35" s="1"/>
  <c r="F14" i="35"/>
  <c r="G14" i="35" s="1"/>
  <c r="F9" i="35"/>
  <c r="G9" i="35" s="1"/>
  <c r="F13" i="35"/>
  <c r="G13" i="35" s="1"/>
  <c r="F12" i="35"/>
  <c r="G12" i="35" s="1"/>
  <c r="F8" i="35"/>
  <c r="G8" i="35" s="1"/>
  <c r="F20" i="1"/>
  <c r="L23" i="1" a="1"/>
  <c r="L23" i="1" s="1"/>
  <c r="H21" i="1" s="1"/>
  <c r="D14" i="1"/>
  <c r="B14" i="1"/>
  <c r="H6" i="35" l="1"/>
  <c r="C80" i="7"/>
  <c r="A87" i="7"/>
  <c r="D80" i="7"/>
  <c r="F21" i="1"/>
  <c r="L24" i="1" a="1"/>
  <c r="L24" i="1" s="1"/>
  <c r="H22" i="1" s="1"/>
  <c r="H6" i="1"/>
  <c r="F6" i="1"/>
  <c r="A92" i="7" l="1"/>
  <c r="D86" i="7"/>
  <c r="C86" i="7"/>
  <c r="F22" i="1"/>
  <c r="L25" i="1" a="1"/>
  <c r="L25" i="1" s="1"/>
  <c r="F23" i="1" s="1"/>
  <c r="F7" i="1"/>
  <c r="H7" i="1"/>
  <c r="A93" i="7" l="1"/>
  <c r="H23" i="1"/>
  <c r="L26" i="1" a="1"/>
  <c r="L26" i="1" s="1"/>
  <c r="F24" i="1" s="1"/>
  <c r="F8" i="1"/>
  <c r="H8" i="1"/>
  <c r="A98" i="7" l="1"/>
  <c r="C98" i="7" s="1"/>
  <c r="A94" i="7"/>
  <c r="F24" i="35" s="1"/>
  <c r="G24" i="35" s="1"/>
  <c r="F16" i="35"/>
  <c r="G16" i="35" s="1"/>
  <c r="F17" i="35"/>
  <c r="G17" i="35" s="1"/>
  <c r="F21" i="35"/>
  <c r="G21" i="35" s="1"/>
  <c r="F19" i="35"/>
  <c r="G19" i="35" s="1"/>
  <c r="F22" i="35"/>
  <c r="G22" i="35" s="1"/>
  <c r="F18" i="35"/>
  <c r="G18" i="35" s="1"/>
  <c r="F29" i="35"/>
  <c r="G29" i="35" s="1"/>
  <c r="D92" i="7"/>
  <c r="D98" i="7"/>
  <c r="F30" i="35"/>
  <c r="G30" i="35" s="1"/>
  <c r="H24" i="1"/>
  <c r="H9" i="1"/>
  <c r="F9" i="1"/>
  <c r="F20" i="35" l="1"/>
  <c r="G20" i="35" s="1"/>
  <c r="F23" i="35"/>
  <c r="G23" i="35" s="1"/>
  <c r="F33" i="35"/>
  <c r="G33" i="35" s="1"/>
  <c r="F26" i="35"/>
  <c r="G26" i="35" s="1"/>
  <c r="C92" i="7"/>
  <c r="F31" i="35"/>
  <c r="G31" i="35" s="1"/>
  <c r="F28" i="35"/>
  <c r="G28" i="35" s="1"/>
  <c r="F27" i="35"/>
  <c r="G27" i="35" s="1"/>
  <c r="F32" i="35"/>
  <c r="G32" i="35" s="1"/>
  <c r="F25" i="35"/>
  <c r="G25" i="35" s="1"/>
  <c r="E12" i="35"/>
  <c r="H12" i="35" s="1"/>
  <c r="E23" i="35"/>
  <c r="H23" i="35" s="1"/>
  <c r="E7" i="35"/>
  <c r="H7" i="35" s="1"/>
  <c r="E18" i="35"/>
  <c r="H18" i="35" s="1"/>
  <c r="E31" i="35"/>
  <c r="H31" i="35" s="1"/>
  <c r="E26" i="35"/>
  <c r="H26" i="35" s="1"/>
  <c r="E17" i="35"/>
  <c r="H17" i="35" s="1"/>
  <c r="E15" i="35"/>
  <c r="H15" i="35" s="1"/>
  <c r="E19" i="35"/>
  <c r="H19" i="35" s="1"/>
  <c r="E21" i="35"/>
  <c r="H21" i="35" s="1"/>
  <c r="E30" i="35"/>
  <c r="H30" i="35" s="1"/>
  <c r="E10" i="35"/>
  <c r="H10" i="35" s="1"/>
  <c r="E25" i="35"/>
  <c r="H25" i="35" s="1"/>
  <c r="E29" i="35"/>
  <c r="H29" i="35" s="1"/>
  <c r="E33" i="35"/>
  <c r="H33" i="35" s="1"/>
  <c r="E8" i="35"/>
  <c r="H8" i="35" s="1"/>
  <c r="E28" i="35"/>
  <c r="H28" i="35" s="1"/>
  <c r="E9" i="35"/>
  <c r="H9" i="35" s="1"/>
  <c r="E24" i="35"/>
  <c r="H24" i="35" s="1"/>
  <c r="E32" i="35"/>
  <c r="H32" i="35" s="1"/>
  <c r="E27" i="35"/>
  <c r="H27" i="35" s="1"/>
  <c r="E16" i="35"/>
  <c r="H16" i="35" s="1"/>
  <c r="E13" i="35"/>
  <c r="H13" i="35" s="1"/>
  <c r="E14" i="35"/>
  <c r="H14" i="35" s="1"/>
  <c r="E22" i="35"/>
  <c r="H22" i="35" s="1"/>
  <c r="F10" i="1"/>
  <c r="H10" i="1"/>
  <c r="E11" i="35" l="1"/>
  <c r="H11" i="35" s="1"/>
  <c r="E20" i="35"/>
  <c r="H20" i="35" s="1"/>
  <c r="F11" i="1"/>
  <c r="H11" i="1"/>
  <c r="F12" i="1" l="1"/>
  <c r="H12" i="1"/>
  <c r="D36" i="35"/>
  <c r="F13" i="1" l="1"/>
  <c r="H13" i="1"/>
  <c r="H14" i="1" s="1"/>
  <c r="A2" i="35"/>
  <c r="H34" i="35" l="1"/>
  <c r="J19" i="33" l="1"/>
  <c r="J18" i="33"/>
  <c r="J17" i="33"/>
  <c r="J16" i="33"/>
  <c r="J15" i="33"/>
  <c r="J14" i="33"/>
  <c r="J13" i="33"/>
  <c r="J12" i="33"/>
  <c r="J11" i="33"/>
  <c r="J10" i="33"/>
  <c r="J9" i="33"/>
  <c r="J8" i="33"/>
  <c r="J19" i="34"/>
  <c r="J18" i="34"/>
  <c r="J17" i="34"/>
  <c r="J16" i="34"/>
  <c r="J15" i="34"/>
  <c r="J14" i="34"/>
  <c r="J13" i="34"/>
  <c r="J12" i="34"/>
  <c r="J11" i="34"/>
  <c r="J10" i="34"/>
  <c r="J9" i="34"/>
  <c r="J8" i="34"/>
  <c r="L9" i="33" l="1"/>
  <c r="L11" i="34"/>
  <c r="L16" i="34"/>
  <c r="L17" i="34"/>
  <c r="L18" i="34"/>
  <c r="L19" i="34"/>
  <c r="B7" i="34"/>
  <c r="B20" i="34" s="1"/>
  <c r="B7" i="33" s="1"/>
  <c r="B21" i="33" s="1"/>
  <c r="L12" i="34"/>
  <c r="L8" i="34"/>
  <c r="D12" i="29" l="1"/>
  <c r="D35" i="35"/>
  <c r="H35" i="35"/>
  <c r="E12" i="29"/>
  <c r="C14" i="29"/>
  <c r="C7" i="29"/>
  <c r="D13" i="29"/>
  <c r="D10" i="29"/>
  <c r="C18" i="1"/>
  <c r="C5" i="29"/>
  <c r="B7" i="29"/>
  <c r="L10" i="33"/>
  <c r="C19" i="1"/>
  <c r="L11" i="33"/>
  <c r="B8" i="29"/>
  <c r="E8" i="29"/>
  <c r="E9" i="29"/>
  <c r="E10" i="29"/>
  <c r="D3" i="29"/>
  <c r="B4" i="29"/>
  <c r="B5" i="29"/>
  <c r="B6" i="29"/>
  <c r="E6" i="29"/>
  <c r="E11" i="29"/>
  <c r="L8" i="33"/>
  <c r="D7" i="29"/>
  <c r="C4" i="29"/>
  <c r="B9" i="29"/>
  <c r="E13" i="29"/>
  <c r="D14" i="29"/>
  <c r="B11" i="29"/>
  <c r="E3" i="29"/>
  <c r="C12" i="29"/>
  <c r="D8" i="29"/>
  <c r="E4" i="29"/>
  <c r="C13" i="29"/>
  <c r="D9" i="29"/>
  <c r="E5" i="29"/>
  <c r="C10" i="29"/>
  <c r="D6" i="29"/>
  <c r="B10" i="29"/>
  <c r="C3" i="29"/>
  <c r="D11" i="29"/>
  <c r="E7" i="29"/>
  <c r="B12" i="29"/>
  <c r="C8" i="29"/>
  <c r="D4" i="29"/>
  <c r="B13" i="29"/>
  <c r="C9" i="29"/>
  <c r="D5" i="29"/>
  <c r="F5" i="29" s="1"/>
  <c r="B14" i="29"/>
  <c r="C6" i="29"/>
  <c r="E14" i="29"/>
  <c r="B3" i="29"/>
  <c r="C11" i="29"/>
  <c r="L15" i="34"/>
  <c r="L9" i="34"/>
  <c r="L10" i="34"/>
  <c r="L15" i="33"/>
  <c r="L13" i="33"/>
  <c r="L13" i="34"/>
  <c r="L12" i="33"/>
  <c r="L14" i="33"/>
  <c r="L14" i="34"/>
  <c r="H7" i="34"/>
  <c r="F8" i="29" l="1"/>
  <c r="F12" i="29"/>
  <c r="F6" i="29"/>
  <c r="F13" i="29"/>
  <c r="F3" i="29"/>
  <c r="F9" i="29"/>
  <c r="F10" i="29"/>
  <c r="F7" i="29"/>
  <c r="F11" i="29"/>
  <c r="F14" i="29"/>
  <c r="F4" i="29"/>
  <c r="H25" i="1"/>
  <c r="F12" i="33"/>
  <c r="G12" i="33" s="1"/>
  <c r="H12" i="33" s="1"/>
  <c r="E20" i="33"/>
  <c r="F18" i="33"/>
  <c r="G18" i="33" s="1"/>
  <c r="H18" i="33" s="1"/>
  <c r="L20" i="34"/>
  <c r="L7" i="33" s="1"/>
  <c r="D20" i="34"/>
  <c r="D7" i="33" s="1"/>
  <c r="F12" i="34"/>
  <c r="G12" i="34" s="1"/>
  <c r="H12" i="34" s="1"/>
  <c r="F10" i="34"/>
  <c r="G10" i="34" s="1"/>
  <c r="H10" i="34" s="1"/>
  <c r="L20" i="33"/>
  <c r="E20" i="34"/>
  <c r="E7" i="33" s="1"/>
  <c r="D20" i="33"/>
  <c r="C20" i="34"/>
  <c r="C7" i="33" s="1"/>
  <c r="F8" i="34"/>
  <c r="G8" i="34" s="1"/>
  <c r="C20" i="33"/>
  <c r="F14" i="34"/>
  <c r="G14" i="34" s="1"/>
  <c r="H14" i="34" s="1"/>
  <c r="F14" i="33"/>
  <c r="G14" i="33" s="1"/>
  <c r="H14" i="33" s="1"/>
  <c r="F10" i="33"/>
  <c r="G10" i="33" s="1"/>
  <c r="H10" i="33" s="1"/>
  <c r="F8" i="33"/>
  <c r="H16" i="1"/>
  <c r="H17" i="1"/>
  <c r="E16" i="1"/>
  <c r="E17" i="1"/>
  <c r="C16" i="1"/>
  <c r="C17" i="1"/>
  <c r="F18" i="34"/>
  <c r="G18" i="34" s="1"/>
  <c r="H18" i="34" s="1"/>
  <c r="F16" i="33"/>
  <c r="G16" i="33" s="1"/>
  <c r="H16" i="33" s="1"/>
  <c r="F16" i="34"/>
  <c r="G16" i="34" s="1"/>
  <c r="H16" i="34" s="1"/>
  <c r="D34" i="35" l="1"/>
  <c r="H36" i="35" s="1"/>
  <c r="D21" i="33"/>
  <c r="E21" i="33"/>
  <c r="L21" i="33"/>
  <c r="F20" i="33"/>
  <c r="E19" i="1"/>
  <c r="E18" i="1"/>
  <c r="C21" i="33"/>
  <c r="G20" i="34"/>
  <c r="G7" i="33" s="1"/>
  <c r="H8" i="34"/>
  <c r="H20" i="34" s="1"/>
  <c r="G8" i="33"/>
  <c r="F20" i="34"/>
  <c r="F7" i="33" s="1"/>
  <c r="F21" i="33" l="1"/>
  <c r="G5" i="1"/>
  <c r="C5" i="1"/>
  <c r="G20" i="33"/>
  <c r="G21" i="33" s="1"/>
  <c r="H8" i="33"/>
  <c r="H20" i="33" s="1"/>
  <c r="M21" i="34"/>
  <c r="H7" i="33"/>
  <c r="H21" i="33" l="1"/>
  <c r="M21" i="33" s="1"/>
</calcChain>
</file>

<file path=xl/sharedStrings.xml><?xml version="1.0" encoding="utf-8"?>
<sst xmlns="http://schemas.openxmlformats.org/spreadsheetml/2006/main" count="253" uniqueCount="189">
  <si>
    <t>수입 및 지출 결의서</t>
    <phoneticPr fontId="2" type="noConversion"/>
  </si>
  <si>
    <t>일  자</t>
    <phoneticPr fontId="2" type="noConversion"/>
  </si>
  <si>
    <t>적   요</t>
    <phoneticPr fontId="2" type="noConversion"/>
  </si>
  <si>
    <t>수입금액</t>
    <phoneticPr fontId="2" type="noConversion"/>
  </si>
  <si>
    <t>지출금액</t>
    <phoneticPr fontId="2" type="noConversion"/>
  </si>
  <si>
    <t>비   고</t>
    <phoneticPr fontId="2" type="noConversion"/>
  </si>
  <si>
    <t>교회보조금</t>
    <phoneticPr fontId="2" type="noConversion"/>
  </si>
  <si>
    <t>항목</t>
    <phoneticPr fontId="2" type="noConversion"/>
  </si>
  <si>
    <t>관</t>
    <phoneticPr fontId="2" type="noConversion"/>
  </si>
  <si>
    <t>전년도이월금</t>
    <phoneticPr fontId="2" type="noConversion"/>
  </si>
  <si>
    <t>수입/지출</t>
    <phoneticPr fontId="2" type="noConversion"/>
  </si>
  <si>
    <t>수입누적구분</t>
    <phoneticPr fontId="2" type="noConversion"/>
  </si>
  <si>
    <t>월</t>
    <phoneticPr fontId="2" type="noConversion"/>
  </si>
  <si>
    <t>전년도 이월금</t>
  </si>
  <si>
    <t>수입</t>
    <phoneticPr fontId="2" type="noConversion"/>
  </si>
  <si>
    <t>지출</t>
    <phoneticPr fontId="2" type="noConversion"/>
  </si>
  <si>
    <t>일 자</t>
    <phoneticPr fontId="2" type="noConversion"/>
  </si>
  <si>
    <t>증빙유무</t>
    <phoneticPr fontId="2" type="noConversion"/>
  </si>
  <si>
    <t>과 목</t>
    <phoneticPr fontId="2" type="noConversion"/>
  </si>
  <si>
    <t>항</t>
    <phoneticPr fontId="2" type="noConversion"/>
  </si>
  <si>
    <t>목</t>
    <phoneticPr fontId="2" type="noConversion"/>
  </si>
  <si>
    <t>금 액</t>
    <phoneticPr fontId="2" type="noConversion"/>
  </si>
  <si>
    <t>金</t>
    <phoneticPr fontId="2" type="noConversion"/>
  </si>
  <si>
    <r>
      <t xml:space="preserve">적 요
</t>
    </r>
    <r>
      <rPr>
        <sz val="8"/>
        <color theme="1"/>
        <rFont val="굴림"/>
        <family val="3"/>
        <charset val="129"/>
      </rPr>
      <t>(지출내역)</t>
    </r>
    <phoneticPr fontId="2" type="noConversion"/>
  </si>
  <si>
    <t>계</t>
    <phoneticPr fontId="2" type="noConversion"/>
  </si>
  <si>
    <t>수 입</t>
    <phoneticPr fontId="2" type="noConversion"/>
  </si>
  <si>
    <t>자 체 헌 금</t>
    <phoneticPr fontId="2" type="noConversion"/>
  </si>
  <si>
    <t>기  타</t>
    <phoneticPr fontId="2" type="noConversion"/>
  </si>
  <si>
    <t>금일</t>
    <phoneticPr fontId="2" type="noConversion"/>
  </si>
  <si>
    <t>누계</t>
    <phoneticPr fontId="2" type="noConversion"/>
  </si>
  <si>
    <t>지 출</t>
    <phoneticPr fontId="2" type="noConversion"/>
  </si>
  <si>
    <t>수입누계</t>
    <phoneticPr fontId="2" type="noConversion"/>
  </si>
  <si>
    <t>청구 및 영수자</t>
    <phoneticPr fontId="2" type="noConversion"/>
  </si>
  <si>
    <t>잔고</t>
    <phoneticPr fontId="2" type="noConversion"/>
  </si>
  <si>
    <t xml:space="preserve">(인)  </t>
    <phoneticPr fontId="2" type="noConversion"/>
  </si>
  <si>
    <r>
      <t xml:space="preserve">비 고
</t>
    </r>
    <r>
      <rPr>
        <sz val="8"/>
        <color theme="1"/>
        <rFont val="굴림"/>
        <family val="3"/>
        <charset val="129"/>
      </rPr>
      <t>(수입내역)</t>
    </r>
    <phoneticPr fontId="2" type="noConversion"/>
  </si>
  <si>
    <t>결 재</t>
    <phoneticPr fontId="2" type="noConversion"/>
  </si>
  <si>
    <t>회    계</t>
    <phoneticPr fontId="2" type="noConversion"/>
  </si>
  <si>
    <t>총    무</t>
    <phoneticPr fontId="2" type="noConversion"/>
  </si>
  <si>
    <t xml:space="preserve">  ※ 증빙없는 지출은 영수자 서명 및 내용을 상세히 기록할 것</t>
    <phoneticPr fontId="2" type="noConversion"/>
  </si>
  <si>
    <t>잔  액</t>
    <phoneticPr fontId="2" type="noConversion"/>
  </si>
  <si>
    <t>월계</t>
    <phoneticPr fontId="2" type="noConversion"/>
  </si>
  <si>
    <t>잔액</t>
    <phoneticPr fontId="2" type="noConversion"/>
  </si>
  <si>
    <t>수입(Income)</t>
    <phoneticPr fontId="2" type="noConversion"/>
  </si>
  <si>
    <t>지출(Expenses)</t>
    <phoneticPr fontId="2" type="noConversion"/>
  </si>
  <si>
    <t>교회보조금 (교회지원금,재배정금)</t>
    <phoneticPr fontId="2" type="noConversion"/>
  </si>
  <si>
    <t>구분</t>
    <phoneticPr fontId="2" type="noConversion"/>
  </si>
  <si>
    <t>세      입</t>
    <phoneticPr fontId="18" type="noConversion"/>
  </si>
  <si>
    <t>세      출</t>
    <phoneticPr fontId="18" type="noConversion"/>
  </si>
  <si>
    <t>비  고</t>
    <phoneticPr fontId="18" type="noConversion"/>
  </si>
  <si>
    <t>전년도이월금</t>
    <phoneticPr fontId="18" type="noConversion"/>
  </si>
  <si>
    <t>회기총수입</t>
    <phoneticPr fontId="2" type="noConversion"/>
  </si>
  <si>
    <t>합 계</t>
    <phoneticPr fontId="18" type="noConversion"/>
  </si>
  <si>
    <t>지출항목</t>
    <phoneticPr fontId="2" type="noConversion"/>
  </si>
  <si>
    <t>지 출 계</t>
    <phoneticPr fontId="2" type="noConversion"/>
  </si>
  <si>
    <t>교회지원금</t>
    <phoneticPr fontId="18" type="noConversion"/>
  </si>
  <si>
    <t>재배정금</t>
    <phoneticPr fontId="2" type="noConversion"/>
  </si>
  <si>
    <t>자체헌금/회비</t>
    <phoneticPr fontId="2" type="noConversion"/>
  </si>
  <si>
    <t>찬조/이자/기타</t>
    <phoneticPr fontId="18" type="noConversion"/>
  </si>
  <si>
    <t>이월금</t>
    <phoneticPr fontId="2" type="noConversion"/>
  </si>
  <si>
    <t>1월</t>
    <phoneticPr fontId="2" type="noConversion"/>
  </si>
  <si>
    <t xml:space="preserve"> 1.</t>
    <phoneticPr fontId="2" type="noConversion"/>
  </si>
  <si>
    <t xml:space="preserve"> 2.</t>
  </si>
  <si>
    <t>2월</t>
  </si>
  <si>
    <t xml:space="preserve"> 3.</t>
  </si>
  <si>
    <t xml:space="preserve"> 4.</t>
  </si>
  <si>
    <t>3월</t>
  </si>
  <si>
    <t xml:space="preserve"> 5.</t>
  </si>
  <si>
    <t xml:space="preserve"> 6.</t>
  </si>
  <si>
    <t>4월</t>
  </si>
  <si>
    <t xml:space="preserve"> 7.</t>
  </si>
  <si>
    <t xml:space="preserve"> 8.</t>
  </si>
  <si>
    <t>5월</t>
  </si>
  <si>
    <t xml:space="preserve"> 9.</t>
  </si>
  <si>
    <t xml:space="preserve"> 10.</t>
  </si>
  <si>
    <t>6월</t>
  </si>
  <si>
    <t xml:space="preserve"> 11.</t>
  </si>
  <si>
    <t xml:space="preserve"> 12.</t>
  </si>
  <si>
    <t>상반기 계</t>
    <phoneticPr fontId="18" type="noConversion"/>
  </si>
  <si>
    <t>계</t>
    <phoneticPr fontId="2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</si>
  <si>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</si>
  <si>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</si>
  <si>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</si>
  <si>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</si>
  <si>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</si>
  <si>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</si>
  <si>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</si>
  <si>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구분</t>
    <phoneticPr fontId="2" type="noConversion"/>
  </si>
  <si>
    <t>세      입</t>
    <phoneticPr fontId="18" type="noConversion"/>
  </si>
  <si>
    <t>세      출</t>
    <phoneticPr fontId="18" type="noConversion"/>
  </si>
  <si>
    <t>비  고</t>
    <phoneticPr fontId="18" type="noConversion"/>
  </si>
  <si>
    <t>전년도이월금</t>
    <phoneticPr fontId="18" type="noConversion"/>
  </si>
  <si>
    <t>회기총수입</t>
    <phoneticPr fontId="2" type="noConversion"/>
  </si>
  <si>
    <t>합 계</t>
    <phoneticPr fontId="18" type="noConversion"/>
  </si>
  <si>
    <t>지출항목</t>
    <phoneticPr fontId="2" type="noConversion"/>
  </si>
  <si>
    <t>지 출 계</t>
    <phoneticPr fontId="2" type="noConversion"/>
  </si>
  <si>
    <t>교회지원금</t>
    <phoneticPr fontId="18" type="noConversion"/>
  </si>
  <si>
    <t>재배정금</t>
    <phoneticPr fontId="2" type="noConversion"/>
  </si>
  <si>
    <t>자체헌금/회비</t>
    <phoneticPr fontId="2" type="noConversion"/>
  </si>
  <si>
    <t>찬조/이자/기타</t>
    <phoneticPr fontId="18" type="noConversion"/>
  </si>
  <si>
    <t>상반기
검산총액</t>
    <phoneticPr fontId="2" type="noConversion"/>
  </si>
  <si>
    <t>상반기 검산총액</t>
    <phoneticPr fontId="2" type="noConversion"/>
  </si>
  <si>
    <t xml:space="preserve"> 1.</t>
    <phoneticPr fontId="2" type="noConversion"/>
  </si>
  <si>
    <t>하반기 계</t>
    <phoneticPr fontId="18" type="noConversion"/>
  </si>
  <si>
    <t>하반기 계</t>
    <phoneticPr fontId="2" type="noConversion"/>
  </si>
  <si>
    <t>잔액(이월금)</t>
    <phoneticPr fontId="2" type="noConversion"/>
  </si>
  <si>
    <t>합    계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</si>
  <si>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</si>
  <si>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</si>
  <si>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</si>
  <si>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</si>
  <si>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</si>
  <si>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</si>
  <si>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</si>
  <si>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</si>
  <si>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</si>
  <si>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</si>
  <si>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</si>
  <si>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</si>
  <si>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18" type="noConversion"/>
  </si>
  <si>
    <t>(단위 : 원)</t>
    <phoneticPr fontId="2" type="noConversion"/>
  </si>
  <si>
    <t>위와 같이 검산자료를 제출합니다.</t>
    <phoneticPr fontId="2" type="noConversion"/>
  </si>
  <si>
    <t>부 장 :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</si>
  <si>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</si>
  <si>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</si>
  <si>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</si>
  <si>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</si>
  <si>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</si>
  <si>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</si>
  <si>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기타수입</t>
    <phoneticPr fontId="2" type="noConversion"/>
  </si>
  <si>
    <t>회    장</t>
    <phoneticPr fontId="2" type="noConversion"/>
  </si>
  <si>
    <t>교회 지원기관 검산서 (2020년 상반기)</t>
    <phoneticPr fontId="18" type="noConversion"/>
  </si>
  <si>
    <t>교회 지원기관 검산서 (2020년 하반기)</t>
    <phoneticPr fontId="18" type="noConversion"/>
  </si>
  <si>
    <t>2020년  6월  30일</t>
  </si>
  <si>
    <t>2020년  12월 31일</t>
  </si>
  <si>
    <t>대상기간</t>
    <phoneticPr fontId="2" type="noConversion"/>
  </si>
  <si>
    <t>입력하세요</t>
    <phoneticPr fontId="2" type="noConversion"/>
  </si>
  <si>
    <t>시작일자</t>
    <phoneticPr fontId="2" type="noConversion"/>
  </si>
  <si>
    <t>종료일자</t>
    <phoneticPr fontId="2" type="noConversion"/>
  </si>
  <si>
    <t>금액(원)</t>
    <phoneticPr fontId="2" type="noConversion"/>
  </si>
  <si>
    <t>금액(원)</t>
  </si>
  <si>
    <t>대상기간 수입 합계</t>
    <phoneticPr fontId="2" type="noConversion"/>
  </si>
  <si>
    <t>대상기간 지출 합계</t>
    <phoneticPr fontId="2" type="noConversion"/>
  </si>
  <si>
    <t>대상기간 이전 수입 누적</t>
    <phoneticPr fontId="2" type="noConversion"/>
  </si>
  <si>
    <t>대상기간 이전 지출 누적</t>
    <phoneticPr fontId="2" type="noConversion"/>
  </si>
  <si>
    <t>교회지원금</t>
    <phoneticPr fontId="2" type="noConversion"/>
  </si>
  <si>
    <t>월정헌금</t>
    <phoneticPr fontId="2" type="noConversion"/>
  </si>
  <si>
    <t>특별헌금</t>
    <phoneticPr fontId="2" type="noConversion"/>
  </si>
  <si>
    <t>기타헌금</t>
    <phoneticPr fontId="2" type="noConversion"/>
  </si>
  <si>
    <t>예금이자</t>
    <phoneticPr fontId="2" type="noConversion"/>
  </si>
  <si>
    <t>찬조</t>
    <phoneticPr fontId="2" type="noConversion"/>
  </si>
  <si>
    <t>잡수입</t>
    <phoneticPr fontId="2" type="noConversion"/>
  </si>
  <si>
    <t>회비</t>
    <phoneticPr fontId="2" type="noConversion"/>
  </si>
  <si>
    <t>수입항목</t>
    <phoneticPr fontId="2" type="noConversion"/>
  </si>
  <si>
    <t>일합계</t>
    <phoneticPr fontId="2" type="noConversion"/>
  </si>
  <si>
    <t>지출내역 합계</t>
    <phoneticPr fontId="2" type="noConversion"/>
  </si>
  <si>
    <t>수입내역 합계</t>
    <phoneticPr fontId="2" type="noConversion"/>
  </si>
  <si>
    <t>회계코드위치</t>
    <phoneticPr fontId="2" type="noConversion"/>
  </si>
  <si>
    <t>주일간식(새우깡)</t>
    <phoneticPr fontId="2" type="noConversion"/>
  </si>
  <si>
    <t>간식 식대비</t>
  </si>
  <si>
    <t>헌금/회비</t>
  </si>
  <si>
    <t>헌금/회비</t>
    <phoneticPr fontId="2" type="noConversion"/>
  </si>
  <si>
    <t>전년도이월금</t>
  </si>
  <si>
    <t>간식비</t>
  </si>
  <si>
    <t>부서명:</t>
    <phoneticPr fontId="2" type="noConversion"/>
  </si>
  <si>
    <t>여름수련회</t>
  </si>
  <si>
    <t>간식/식대비</t>
  </si>
  <si>
    <t>찬양축제/신년기도회</t>
  </si>
  <si>
    <t>새가족환영회</t>
  </si>
  <si>
    <t>시상/선물</t>
  </si>
  <si>
    <t>심방비</t>
  </si>
  <si>
    <t>한마음체육대회</t>
  </si>
  <si>
    <t>육아부 경비</t>
  </si>
  <si>
    <t>특강/도서구입비</t>
  </si>
  <si>
    <t>요람/현수막제작비</t>
  </si>
  <si>
    <t>기타지출</t>
  </si>
  <si>
    <t>수/토/주일간식</t>
  </si>
  <si>
    <t>찬양축제</t>
  </si>
  <si>
    <t>병문안</t>
  </si>
  <si>
    <t>특강비</t>
  </si>
  <si>
    <t>요람제작비</t>
  </si>
  <si>
    <t>잡화구입비</t>
  </si>
  <si>
    <t>임원식사</t>
  </si>
  <si>
    <t>신년기도회</t>
  </si>
  <si>
    <t>경조사비</t>
  </si>
  <si>
    <t>도서구입비</t>
  </si>
  <si>
    <t>현수막제작비</t>
  </si>
  <si>
    <t>비품구입비</t>
  </si>
  <si>
    <t>기타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</si>
</sst>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7" formatCode="&quot;₩&quot;#,##0_);[Red]\(&quot;₩&quot;#,##0\)"/>
    <numFmt numFmtId="178" formatCode="#,##0_ ;[Red]\-#,##0\ "/>
    <numFmt numFmtId="179" formatCode="&quot;₩&quot;#,##0"/>
    <numFmt numFmtId="180" formatCode="m&quot;/&quot;d;@"/>
  </numFmts>
  <fonts count="5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2"/>
      <color theme="1"/>
      <name val="HY헤드라인M"/>
      <family val="1"/>
      <charset val="129"/>
    </font>
    <font>
      <sz val="22"/>
      <color theme="1"/>
      <name val="HY헤드라인M"/>
      <family val="1"/>
      <charset val="129"/>
    </font>
    <font>
      <sz val="11"/>
      <color theme="1"/>
      <name val="굴림"/>
      <family val="3"/>
      <charset val="129"/>
    </font>
    <font>
      <sz val="11"/>
      <color theme="0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0" tint="-0.34998626667073579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indexed="8"/>
      <name val="맑은 고딕"/>
      <family val="3"/>
      <charset val="129"/>
      <scheme val="minor"/>
    </font>
    <font>
      <b/>
      <sz val="14"/>
      <color theme="1" tint="0.14999847407452621"/>
      <name val="맑은 고딕"/>
      <family val="3"/>
      <charset val="129"/>
      <scheme val="minor"/>
    </font>
    <font>
      <b/>
      <sz val="11"/>
      <color theme="1" tint="0.14999847407452621"/>
      <name val="맑은 고딕"/>
      <family val="3"/>
      <charset val="129"/>
      <scheme val="minor"/>
    </font>
    <font>
      <b/>
      <sz val="10"/>
      <color theme="1" tint="0.14999847407452621"/>
      <name val="맑은 고딕"/>
      <family val="3"/>
      <charset val="129"/>
      <scheme val="minor"/>
    </font>
    <font>
      <sz val="11"/>
      <color theme="1" tint="0.1499984740745262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sz val="9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0" tint="-0.14999847407452621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1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64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double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double">
        <color rgb="FFFF0000"/>
      </left>
      <right style="thin">
        <color rgb="FFFF0000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rgb="FFFF0000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FF0000"/>
      </left>
      <right/>
      <top style="thin">
        <color theme="3" tint="0.39994506668294322"/>
      </top>
      <bottom/>
      <diagonal/>
    </border>
    <border>
      <left style="thin">
        <color auto="1"/>
      </left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theme="3" tint="0.39994506668294322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thin">
        <color rgb="FFFF0000"/>
      </right>
      <top style="thin">
        <color indexed="64"/>
      </top>
      <bottom/>
      <diagonal/>
    </border>
    <border>
      <left/>
      <right style="double">
        <color rgb="FFFF0000"/>
      </right>
      <top style="thin">
        <color theme="3" tint="0.39994506668294322"/>
      </top>
      <bottom/>
      <diagonal/>
    </border>
    <border>
      <left style="double">
        <color rgb="FFFF0000"/>
      </left>
      <right style="thin">
        <color rgb="FFFF0000"/>
      </right>
      <top style="thin">
        <color theme="3" tint="0.39994506668294322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 applyNumberFormat="0" applyFont="0" applyFill="0" applyBorder="0" applyAlignment="0" applyProtection="0">
      <alignment vertical="center"/>
    </xf>
    <xf numFmtId="42" fontId="11" fillId="0" borderId="0" applyNumberFormat="0" applyFont="0" applyFill="0" applyBorder="0" applyAlignment="0" applyProtection="0">
      <alignment vertical="center"/>
    </xf>
    <xf numFmtId="0" fontId="14" fillId="0" borderId="0">
      <alignment horizontal="center" vertical="center"/>
    </xf>
    <xf numFmtId="0" fontId="14" fillId="0" borderId="0">
      <alignment vertical="center"/>
    </xf>
    <xf numFmtId="0" fontId="14" fillId="0" borderId="41">
      <alignment horizontal="center" vertical="center"/>
    </xf>
    <xf numFmtId="0" fontId="14" fillId="0" borderId="42">
      <alignment horizontal="center" vertical="center"/>
    </xf>
    <xf numFmtId="0" fontId="14" fillId="0" borderId="43">
      <alignment horizontal="center" vertical="center"/>
    </xf>
    <xf numFmtId="0" fontId="14" fillId="0" borderId="44">
      <alignment vertical="center"/>
    </xf>
    <xf numFmtId="0" fontId="14" fillId="0" borderId="43">
      <alignment vertical="center"/>
    </xf>
    <xf numFmtId="0" fontId="13" fillId="0" borderId="0">
      <alignment horizontal="left" vertical="center"/>
    </xf>
    <xf numFmtId="0" fontId="14" fillId="0" borderId="0">
      <alignment horizontal="left" vertical="center"/>
    </xf>
    <xf numFmtId="0" fontId="15" fillId="0" borderId="0">
      <alignment horizontal="center" vertical="center"/>
    </xf>
    <xf numFmtId="0" fontId="14" fillId="0" borderId="45">
      <alignment horizontal="center" vertical="center"/>
    </xf>
    <xf numFmtId="0" fontId="14" fillId="0" borderId="46">
      <alignment horizontal="center" vertical="center"/>
    </xf>
    <xf numFmtId="0" fontId="14" fillId="0" borderId="47">
      <alignment horizontal="center" vertical="center"/>
    </xf>
    <xf numFmtId="0" fontId="14" fillId="0" borderId="48">
      <alignment horizontal="center" vertical="center"/>
    </xf>
    <xf numFmtId="176" fontId="14" fillId="0" borderId="45">
      <alignment horizontal="center" vertical="center"/>
    </xf>
    <xf numFmtId="176" fontId="14" fillId="0" borderId="46">
      <alignment horizontal="center" vertical="center"/>
    </xf>
    <xf numFmtId="176" fontId="14" fillId="0" borderId="48">
      <alignment horizontal="center" vertical="center"/>
    </xf>
    <xf numFmtId="179" fontId="12" fillId="0" borderId="49">
      <alignment horizontal="center" vertical="center"/>
    </xf>
    <xf numFmtId="0" fontId="14" fillId="0" borderId="44">
      <alignment horizontal="center" vertical="center"/>
    </xf>
    <xf numFmtId="0" fontId="14" fillId="0" borderId="50">
      <alignment horizontal="center" vertical="center"/>
    </xf>
    <xf numFmtId="0" fontId="14" fillId="0" borderId="43">
      <alignment horizontal="center" vertical="center"/>
    </xf>
    <xf numFmtId="179" fontId="12" fillId="0" borderId="51">
      <alignment horizontal="center" vertical="center"/>
    </xf>
    <xf numFmtId="0" fontId="12" fillId="0" borderId="49">
      <alignment horizontal="center" vertical="center"/>
    </xf>
    <xf numFmtId="0" fontId="14" fillId="0" borderId="52">
      <alignment horizontal="center" vertical="center"/>
    </xf>
    <xf numFmtId="0" fontId="14" fillId="0" borderId="43">
      <alignment horizontal="left" vertical="center"/>
    </xf>
    <xf numFmtId="179" fontId="14" fillId="0" borderId="52">
      <alignment horizontal="center" vertical="center"/>
    </xf>
    <xf numFmtId="41" fontId="1" fillId="0" borderId="0" applyFont="0" applyFill="0" applyBorder="0" applyAlignment="0" applyProtection="0">
      <alignment vertical="center"/>
    </xf>
    <xf numFmtId="179" fontId="12" fillId="0" borderId="53">
      <alignment horizontal="center" vertical="center"/>
    </xf>
    <xf numFmtId="0" fontId="12" fillId="0" borderId="54">
      <alignment horizontal="center" vertical="center"/>
    </xf>
    <xf numFmtId="179" fontId="12" fillId="0" borderId="54">
      <alignment horizontal="center" vertical="center"/>
    </xf>
    <xf numFmtId="0" fontId="14" fillId="0" borderId="55">
      <alignment horizontal="center" vertical="center"/>
    </xf>
    <xf numFmtId="0" fontId="12" fillId="0" borderId="56">
      <alignment horizontal="center" vertical="center"/>
    </xf>
    <xf numFmtId="0" fontId="14" fillId="0" borderId="57">
      <alignment horizontal="center" vertical="center"/>
    </xf>
    <xf numFmtId="0" fontId="12" fillId="0" borderId="58">
      <alignment horizontal="center" vertical="center"/>
    </xf>
    <xf numFmtId="0" fontId="14" fillId="0" borderId="59">
      <alignment horizontal="center" vertical="center"/>
    </xf>
    <xf numFmtId="0" fontId="12" fillId="0" borderId="51">
      <alignment horizontal="center" vertical="center"/>
    </xf>
    <xf numFmtId="179" fontId="12" fillId="0" borderId="60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3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right" vertical="center" indent="1"/>
    </xf>
    <xf numFmtId="177" fontId="5" fillId="0" borderId="17" xfId="0" applyNumberFormat="1" applyFont="1" applyBorder="1" applyAlignment="1">
      <alignment horizontal="right" vertical="center" indent="1"/>
    </xf>
    <xf numFmtId="177" fontId="5" fillId="0" borderId="3" xfId="1" applyNumberFormat="1" applyFont="1" applyBorder="1" applyAlignment="1">
      <alignment horizontal="right" vertical="center" indent="1"/>
    </xf>
    <xf numFmtId="177" fontId="5" fillId="0" borderId="8" xfId="0" applyNumberFormat="1" applyFont="1" applyBorder="1" applyAlignment="1">
      <alignment horizontal="right" vertical="center" indent="1"/>
    </xf>
    <xf numFmtId="177" fontId="5" fillId="0" borderId="3" xfId="1" applyNumberFormat="1" applyFont="1" applyBorder="1" applyAlignment="1">
      <alignment horizontal="center" vertical="center"/>
    </xf>
    <xf numFmtId="42" fontId="0" fillId="0" borderId="0" xfId="43" applyFont="1" applyAlignment="1">
      <alignment horizontal="center" vertical="center"/>
    </xf>
    <xf numFmtId="41" fontId="0" fillId="0" borderId="0" xfId="1" applyFont="1">
      <alignment vertical="center"/>
    </xf>
    <xf numFmtId="0" fontId="19" fillId="0" borderId="0" xfId="1" applyNumberFormat="1" applyFont="1" applyFill="1" applyBorder="1" applyAlignment="1" applyProtection="1">
      <alignment vertical="center"/>
    </xf>
    <xf numFmtId="0" fontId="17" fillId="0" borderId="0" xfId="1" applyNumberFormat="1" applyFont="1" applyFill="1" applyBorder="1" applyAlignment="1" applyProtection="1">
      <alignment vertical="center"/>
    </xf>
    <xf numFmtId="0" fontId="26" fillId="0" borderId="0" xfId="1" applyNumberFormat="1" applyFont="1" applyFill="1" applyBorder="1" applyAlignment="1" applyProtection="1">
      <alignment horizontal="center" vertical="center"/>
    </xf>
    <xf numFmtId="0" fontId="27" fillId="0" borderId="0" xfId="1" applyNumberFormat="1" applyFont="1" applyFill="1" applyBorder="1" applyAlignment="1" applyProtection="1"/>
    <xf numFmtId="0" fontId="27" fillId="0" borderId="0" xfId="1" applyNumberFormat="1" applyFont="1" applyFill="1" applyBorder="1" applyAlignment="1" applyProtection="1">
      <alignment vertical="center"/>
    </xf>
    <xf numFmtId="0" fontId="28" fillId="0" borderId="0" xfId="1" applyNumberFormat="1" applyFont="1" applyFill="1" applyBorder="1" applyAlignment="1" applyProtection="1">
      <alignment horizontal="right"/>
    </xf>
    <xf numFmtId="0" fontId="27" fillId="0" borderId="3" xfId="1" applyNumberFormat="1" applyFont="1" applyFill="1" applyBorder="1" applyAlignment="1" applyProtection="1">
      <alignment horizontal="center" vertical="center"/>
    </xf>
    <xf numFmtId="0" fontId="27" fillId="0" borderId="76" xfId="1" applyNumberFormat="1" applyFont="1" applyFill="1" applyBorder="1" applyAlignment="1" applyProtection="1">
      <alignment horizontal="center" vertical="center"/>
    </xf>
    <xf numFmtId="0" fontId="27" fillId="0" borderId="37" xfId="1" applyNumberFormat="1" applyFont="1" applyFill="1" applyBorder="1" applyAlignment="1" applyProtection="1">
      <alignment horizontal="center" vertical="center" wrapText="1"/>
    </xf>
    <xf numFmtId="41" fontId="27" fillId="9" borderId="3" xfId="1" applyFont="1" applyFill="1" applyBorder="1" applyAlignment="1" applyProtection="1">
      <alignment vertical="center"/>
    </xf>
    <xf numFmtId="41" fontId="27" fillId="0" borderId="86" xfId="1" applyNumberFormat="1" applyFont="1" applyFill="1" applyBorder="1" applyAlignment="1" applyProtection="1">
      <alignment horizontal="center" vertical="center"/>
    </xf>
    <xf numFmtId="0" fontId="27" fillId="10" borderId="89" xfId="1" applyNumberFormat="1" applyFont="1" applyFill="1" applyBorder="1" applyAlignment="1" applyProtection="1">
      <alignment horizontal="center" vertical="center"/>
    </xf>
    <xf numFmtId="0" fontId="27" fillId="10" borderId="65" xfId="1" applyNumberFormat="1" applyFont="1" applyFill="1" applyBorder="1" applyAlignment="1" applyProtection="1">
      <alignment horizontal="center" vertical="center"/>
    </xf>
    <xf numFmtId="0" fontId="27" fillId="0" borderId="90" xfId="1" applyNumberFormat="1" applyFont="1" applyFill="1" applyBorder="1" applyAlignment="1" applyProtection="1">
      <alignment vertical="center"/>
    </xf>
    <xf numFmtId="41" fontId="27" fillId="0" borderId="65" xfId="1" applyFont="1" applyFill="1" applyBorder="1" applyAlignment="1" applyProtection="1">
      <alignment vertical="center"/>
    </xf>
    <xf numFmtId="0" fontId="27" fillId="0" borderId="78" xfId="1" applyNumberFormat="1" applyFont="1" applyFill="1" applyBorder="1" applyAlignment="1" applyProtection="1">
      <alignment vertical="center"/>
    </xf>
    <xf numFmtId="41" fontId="27" fillId="0" borderId="0" xfId="1" applyFont="1" applyFill="1" applyBorder="1" applyAlignment="1" applyProtection="1">
      <alignment vertical="center"/>
    </xf>
    <xf numFmtId="0" fontId="27" fillId="0" borderId="80" xfId="1" applyNumberFormat="1" applyFont="1" applyFill="1" applyBorder="1" applyAlignment="1" applyProtection="1">
      <alignment vertical="center"/>
    </xf>
    <xf numFmtId="0" fontId="27" fillId="0" borderId="92" xfId="1" applyNumberFormat="1" applyFont="1" applyFill="1" applyBorder="1" applyAlignment="1" applyProtection="1">
      <alignment vertical="center"/>
    </xf>
    <xf numFmtId="0" fontId="27" fillId="0" borderId="73" xfId="1" applyNumberFormat="1" applyFont="1" applyFill="1" applyBorder="1" applyAlignment="1" applyProtection="1">
      <alignment vertical="center"/>
    </xf>
    <xf numFmtId="0" fontId="30" fillId="0" borderId="82" xfId="1" applyNumberFormat="1" applyFont="1" applyFill="1" applyBorder="1" applyAlignment="1" applyProtection="1">
      <alignment horizontal="center" vertical="center" shrinkToFit="1"/>
    </xf>
    <xf numFmtId="41" fontId="29" fillId="0" borderId="82" xfId="1" applyNumberFormat="1" applyFont="1" applyFill="1" applyBorder="1" applyAlignment="1" applyProtection="1">
      <alignment vertical="center"/>
    </xf>
    <xf numFmtId="41" fontId="31" fillId="0" borderId="0" xfId="1" applyFont="1" applyFill="1" applyBorder="1" applyAlignment="1" applyProtection="1">
      <alignment vertical="center"/>
    </xf>
    <xf numFmtId="0" fontId="32" fillId="0" borderId="0" xfId="1" applyNumberFormat="1" applyFont="1" applyFill="1" applyBorder="1" applyAlignment="1" applyProtection="1">
      <alignment vertical="center"/>
    </xf>
    <xf numFmtId="0" fontId="33" fillId="0" borderId="0" xfId="1" applyNumberFormat="1" applyFont="1" applyFill="1" applyBorder="1" applyAlignment="1" applyProtection="1">
      <alignment vertical="center"/>
    </xf>
    <xf numFmtId="0" fontId="26" fillId="0" borderId="82" xfId="1" applyNumberFormat="1" applyFont="1" applyFill="1" applyBorder="1" applyAlignment="1" applyProtection="1">
      <alignment horizontal="center" vertical="center"/>
    </xf>
    <xf numFmtId="0" fontId="33" fillId="0" borderId="82" xfId="1" applyNumberFormat="1" applyFont="1" applyFill="1" applyBorder="1" applyAlignment="1" applyProtection="1">
      <alignment horizontal="center" vertical="center"/>
    </xf>
    <xf numFmtId="0" fontId="34" fillId="0" borderId="0" xfId="1" applyNumberFormat="1" applyFont="1" applyFill="1" applyBorder="1" applyAlignment="1" applyProtection="1">
      <alignment vertical="center"/>
    </xf>
    <xf numFmtId="41" fontId="16" fillId="0" borderId="0" xfId="1" applyFont="1" applyFill="1" applyBorder="1" applyAlignment="1" applyProtection="1">
      <alignment vertical="center"/>
    </xf>
    <xf numFmtId="41" fontId="27" fillId="11" borderId="3" xfId="1" applyFont="1" applyFill="1" applyBorder="1" applyAlignment="1" applyProtection="1">
      <alignment vertical="center"/>
    </xf>
    <xf numFmtId="41" fontId="0" fillId="11" borderId="79" xfId="0" applyNumberFormat="1" applyFill="1" applyBorder="1">
      <alignment vertical="center"/>
    </xf>
    <xf numFmtId="0" fontId="0" fillId="0" borderId="22" xfId="0" applyFill="1" applyBorder="1">
      <alignment vertical="center"/>
    </xf>
    <xf numFmtId="0" fontId="27" fillId="0" borderId="4" xfId="1" applyNumberFormat="1" applyFont="1" applyFill="1" applyBorder="1" applyAlignment="1" applyProtection="1">
      <alignment horizontal="center" vertical="center"/>
    </xf>
    <xf numFmtId="41" fontId="26" fillId="10" borderId="5" xfId="1" applyFont="1" applyFill="1" applyBorder="1" applyAlignment="1" applyProtection="1">
      <alignment vertical="center"/>
    </xf>
    <xf numFmtId="41" fontId="26" fillId="0" borderId="5" xfId="1" applyFont="1" applyFill="1" applyBorder="1" applyAlignment="1" applyProtection="1">
      <alignment vertical="center"/>
    </xf>
    <xf numFmtId="41" fontId="26" fillId="0" borderId="67" xfId="1" applyFont="1" applyFill="1" applyBorder="1" applyAlignment="1" applyProtection="1">
      <alignment vertical="center"/>
    </xf>
    <xf numFmtId="41" fontId="26" fillId="0" borderId="97" xfId="1" applyFont="1" applyFill="1" applyBorder="1" applyAlignment="1" applyProtection="1">
      <alignment vertical="center"/>
    </xf>
    <xf numFmtId="0" fontId="27" fillId="0" borderId="39" xfId="1" applyNumberFormat="1" applyFont="1" applyFill="1" applyBorder="1" applyAlignment="1" applyProtection="1">
      <alignment horizontal="center" vertical="center"/>
    </xf>
    <xf numFmtId="41" fontId="26" fillId="0" borderId="40" xfId="1" applyFont="1" applyFill="1" applyBorder="1" applyAlignment="1" applyProtection="1">
      <alignment vertical="center"/>
    </xf>
    <xf numFmtId="41" fontId="26" fillId="0" borderId="28" xfId="1" applyFont="1" applyFill="1" applyBorder="1" applyAlignment="1" applyProtection="1">
      <alignment vertical="center"/>
    </xf>
    <xf numFmtId="41" fontId="26" fillId="0" borderId="82" xfId="1" applyNumberFormat="1" applyFont="1" applyFill="1" applyBorder="1" applyAlignment="1" applyProtection="1">
      <alignment vertical="center"/>
    </xf>
    <xf numFmtId="14" fontId="0" fillId="0" borderId="0" xfId="0" applyNumberFormat="1">
      <alignment vertical="center"/>
    </xf>
    <xf numFmtId="0" fontId="44" fillId="0" borderId="4" xfId="0" applyFont="1" applyBorder="1" applyAlignment="1">
      <alignment horizontal="center" vertical="center"/>
    </xf>
    <xf numFmtId="14" fontId="44" fillId="0" borderId="6" xfId="0" applyNumberFormat="1" applyFont="1" applyBorder="1" applyAlignment="1">
      <alignment horizontal="center" vertical="center"/>
    </xf>
    <xf numFmtId="0" fontId="44" fillId="0" borderId="7" xfId="0" applyFont="1" applyBorder="1" applyAlignment="1">
      <alignment horizontal="center" vertical="center"/>
    </xf>
    <xf numFmtId="0" fontId="44" fillId="0" borderId="9" xfId="0" applyFont="1" applyBorder="1" applyAlignment="1">
      <alignment horizontal="center" vertical="center"/>
    </xf>
    <xf numFmtId="0" fontId="44" fillId="12" borderId="109" xfId="0" applyFont="1" applyFill="1" applyBorder="1" applyAlignment="1">
      <alignment horizontal="center" vertical="center" wrapText="1"/>
    </xf>
    <xf numFmtId="0" fontId="44" fillId="12" borderId="112" xfId="0" applyFont="1" applyFill="1" applyBorder="1" applyAlignment="1">
      <alignment horizontal="center" vertical="center" wrapText="1"/>
    </xf>
    <xf numFmtId="41" fontId="23" fillId="0" borderId="33" xfId="1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41" fontId="22" fillId="13" borderId="116" xfId="0" applyNumberFormat="1" applyFont="1" applyFill="1" applyBorder="1" applyAlignment="1">
      <alignment horizontal="left" vertical="center"/>
    </xf>
    <xf numFmtId="41" fontId="44" fillId="13" borderId="116" xfId="0" applyNumberFormat="1" applyFont="1" applyFill="1" applyBorder="1" applyAlignment="1">
      <alignment horizontal="right" vertical="center"/>
    </xf>
    <xf numFmtId="41" fontId="44" fillId="13" borderId="120" xfId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76" xfId="0" applyFont="1" applyBorder="1" applyAlignment="1">
      <alignment horizontal="left" vertical="center" indent="1" shrinkToFit="1"/>
    </xf>
    <xf numFmtId="0" fontId="23" fillId="0" borderId="20" xfId="0" applyFont="1" applyBorder="1" applyAlignment="1">
      <alignment horizontal="left" vertical="center" indent="1" shrinkToFit="1"/>
    </xf>
    <xf numFmtId="0" fontId="21" fillId="0" borderId="20" xfId="0" applyFont="1" applyBorder="1" applyAlignment="1">
      <alignment horizontal="left" vertical="center" indent="1" shrinkToFit="1"/>
    </xf>
    <xf numFmtId="0" fontId="23" fillId="0" borderId="21" xfId="0" applyFont="1" applyBorder="1" applyAlignment="1">
      <alignment horizontal="left" vertical="center" wrapText="1" indent="1"/>
    </xf>
    <xf numFmtId="41" fontId="46" fillId="7" borderId="120" xfId="0" applyNumberFormat="1" applyFont="1" applyFill="1" applyBorder="1" applyAlignment="1">
      <alignment horizontal="right" vertical="center"/>
    </xf>
    <xf numFmtId="41" fontId="0" fillId="0" borderId="3" xfId="1" applyFont="1" applyBorder="1">
      <alignment vertical="center"/>
    </xf>
    <xf numFmtId="0" fontId="45" fillId="7" borderId="3" xfId="0" applyFont="1" applyFill="1" applyBorder="1" applyAlignment="1">
      <alignment horizontal="center" vertical="center"/>
    </xf>
    <xf numFmtId="41" fontId="45" fillId="7" borderId="3" xfId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8" fillId="0" borderId="123" xfId="0" applyFont="1" applyBorder="1" applyAlignment="1">
      <alignment horizontal="center" vertical="center"/>
    </xf>
    <xf numFmtId="41" fontId="48" fillId="0" borderId="123" xfId="1" applyFont="1" applyBorder="1" applyAlignment="1">
      <alignment horizontal="center" vertical="center"/>
    </xf>
    <xf numFmtId="0" fontId="48" fillId="14" borderId="123" xfId="0" applyFont="1" applyFill="1" applyBorder="1" applyAlignment="1">
      <alignment horizontal="center" vertical="center"/>
    </xf>
    <xf numFmtId="177" fontId="5" fillId="0" borderId="126" xfId="0" applyNumberFormat="1" applyFont="1" applyBorder="1" applyAlignment="1">
      <alignment horizontal="right" vertical="center" indent="1"/>
    </xf>
    <xf numFmtId="177" fontId="7" fillId="0" borderId="130" xfId="0" applyNumberFormat="1" applyFont="1" applyBorder="1" applyAlignment="1">
      <alignment horizontal="right" vertical="center" indent="1"/>
    </xf>
    <xf numFmtId="0" fontId="5" fillId="0" borderId="134" xfId="0" applyFont="1" applyBorder="1" applyAlignment="1">
      <alignment horizontal="center" vertical="center"/>
    </xf>
    <xf numFmtId="0" fontId="5" fillId="0" borderId="135" xfId="0" applyFont="1" applyBorder="1" applyAlignment="1">
      <alignment horizontal="center" vertical="center"/>
    </xf>
    <xf numFmtId="41" fontId="5" fillId="0" borderId="135" xfId="1" applyFont="1" applyBorder="1" applyAlignment="1">
      <alignment horizontal="center" vertical="center"/>
    </xf>
    <xf numFmtId="0" fontId="5" fillId="0" borderId="136" xfId="0" applyFont="1" applyBorder="1" applyAlignment="1">
      <alignment horizontal="center" vertical="center"/>
    </xf>
    <xf numFmtId="177" fontId="5" fillId="0" borderId="141" xfId="0" applyNumberFormat="1" applyFont="1" applyBorder="1" applyAlignment="1">
      <alignment horizontal="right" vertical="center" indent="1"/>
    </xf>
    <xf numFmtId="0" fontId="5" fillId="0" borderId="142" xfId="0" applyFont="1" applyBorder="1" applyAlignment="1">
      <alignment horizontal="center" vertical="center"/>
    </xf>
    <xf numFmtId="0" fontId="41" fillId="0" borderId="0" xfId="0" applyFont="1" applyAlignment="1" applyProtection="1">
      <alignment horizontal="center" vertical="center"/>
      <protection locked="0"/>
    </xf>
    <xf numFmtId="0" fontId="20" fillId="0" borderId="0" xfId="0" applyFont="1" applyProtection="1">
      <alignment vertical="center"/>
      <protection locked="0"/>
    </xf>
    <xf numFmtId="180" fontId="35" fillId="6" borderId="61" xfId="0" applyNumberFormat="1" applyFont="1" applyFill="1" applyBorder="1" applyAlignment="1" applyProtection="1">
      <alignment horizontal="center" vertical="center"/>
      <protection locked="0"/>
    </xf>
    <xf numFmtId="178" fontId="35" fillId="6" borderId="62" xfId="1" applyNumberFormat="1" applyFont="1" applyFill="1" applyBorder="1" applyAlignment="1" applyProtection="1">
      <alignment vertical="center"/>
      <protection locked="0"/>
    </xf>
    <xf numFmtId="178" fontId="20" fillId="6" borderId="64" xfId="1" applyNumberFormat="1" applyFont="1" applyFill="1" applyBorder="1" applyAlignment="1" applyProtection="1">
      <alignment horizontal="left" vertical="center" shrinkToFit="1"/>
      <protection locked="0"/>
    </xf>
    <xf numFmtId="178" fontId="23" fillId="6" borderId="0" xfId="1" applyNumberFormat="1" applyFont="1" applyFill="1" applyBorder="1" applyProtection="1">
      <alignment vertical="center"/>
      <protection locked="0"/>
    </xf>
    <xf numFmtId="178" fontId="35" fillId="6" borderId="63" xfId="1" applyNumberFormat="1" applyFont="1" applyFill="1" applyBorder="1" applyAlignment="1" applyProtection="1">
      <alignment vertical="center"/>
    </xf>
    <xf numFmtId="178" fontId="23" fillId="6" borderId="0" xfId="1" applyNumberFormat="1" applyFont="1" applyFill="1" applyBorder="1" applyAlignment="1" applyProtection="1">
      <alignment horizontal="center" vertical="center"/>
    </xf>
    <xf numFmtId="178" fontId="23" fillId="6" borderId="0" xfId="1" applyNumberFormat="1" applyFont="1" applyFill="1" applyBorder="1" applyProtection="1">
      <alignment vertical="center"/>
    </xf>
    <xf numFmtId="41" fontId="23" fillId="0" borderId="123" xfId="1" applyFont="1" applyBorder="1" applyAlignment="1">
      <alignment vertical="center" wrapText="1"/>
    </xf>
    <xf numFmtId="0" fontId="21" fillId="0" borderId="144" xfId="0" applyFont="1" applyBorder="1" applyAlignment="1">
      <alignment horizontal="left" vertical="center" indent="1" shrinkToFit="1"/>
    </xf>
    <xf numFmtId="178" fontId="20" fillId="6" borderId="104" xfId="1" applyNumberFormat="1" applyFont="1" applyFill="1" applyBorder="1" applyAlignment="1">
      <alignment horizontal="left" vertical="center" shrinkToFit="1"/>
    </xf>
    <xf numFmtId="0" fontId="23" fillId="0" borderId="144" xfId="0" applyFont="1" applyBorder="1" applyAlignment="1">
      <alignment vertical="center" wrapText="1"/>
    </xf>
    <xf numFmtId="0" fontId="21" fillId="0" borderId="147" xfId="0" applyFont="1" applyBorder="1" applyAlignment="1">
      <alignment horizontal="left" vertical="center" indent="1" shrinkToFit="1"/>
    </xf>
    <xf numFmtId="41" fontId="23" fillId="0" borderId="148" xfId="1" applyFont="1" applyBorder="1" applyAlignment="1">
      <alignment vertical="center" wrapText="1"/>
    </xf>
    <xf numFmtId="0" fontId="44" fillId="12" borderId="111" xfId="0" applyFont="1" applyFill="1" applyBorder="1" applyAlignment="1">
      <alignment horizontal="center" vertical="center" shrinkToFit="1"/>
    </xf>
    <xf numFmtId="178" fontId="39" fillId="3" borderId="102" xfId="1" applyNumberFormat="1" applyFont="1" applyFill="1" applyBorder="1" applyAlignment="1">
      <alignment horizontal="center" vertical="center" shrinkToFit="1"/>
    </xf>
    <xf numFmtId="178" fontId="40" fillId="4" borderId="99" xfId="1" applyNumberFormat="1" applyFont="1" applyFill="1" applyBorder="1" applyAlignment="1">
      <alignment horizontal="center" vertical="center"/>
    </xf>
    <xf numFmtId="178" fontId="40" fillId="4" borderId="103" xfId="1" applyNumberFormat="1" applyFont="1" applyFill="1" applyBorder="1" applyAlignment="1">
      <alignment horizontal="center" vertical="center"/>
    </xf>
    <xf numFmtId="178" fontId="40" fillId="3" borderId="103" xfId="1" applyNumberFormat="1" applyFont="1" applyFill="1" applyBorder="1" applyAlignment="1">
      <alignment horizontal="center" vertical="center"/>
    </xf>
    <xf numFmtId="178" fontId="23" fillId="6" borderId="105" xfId="1" applyNumberFormat="1" applyFont="1" applyFill="1" applyBorder="1" applyAlignment="1">
      <alignment horizontal="center" vertical="center"/>
    </xf>
    <xf numFmtId="178" fontId="23" fillId="6" borderId="106" xfId="1" applyNumberFormat="1" applyFont="1" applyFill="1" applyBorder="1" applyAlignment="1">
      <alignment horizontal="center" vertical="center"/>
    </xf>
    <xf numFmtId="178" fontId="23" fillId="6" borderId="100" xfId="1" applyNumberFormat="1" applyFont="1" applyFill="1" applyBorder="1">
      <alignment vertical="center"/>
    </xf>
    <xf numFmtId="178" fontId="23" fillId="6" borderId="106" xfId="1" applyNumberFormat="1" applyFont="1" applyFill="1" applyBorder="1">
      <alignment vertical="center"/>
    </xf>
    <xf numFmtId="178" fontId="23" fillId="6" borderId="107" xfId="1" applyNumberFormat="1" applyFont="1" applyFill="1" applyBorder="1" applyAlignment="1">
      <alignment horizontal="center" vertical="center"/>
    </xf>
    <xf numFmtId="178" fontId="23" fillId="6" borderId="100" xfId="1" applyNumberFormat="1" applyFont="1" applyFill="1" applyBorder="1" applyAlignment="1">
      <alignment horizontal="center" vertical="center"/>
    </xf>
    <xf numFmtId="0" fontId="22" fillId="4" borderId="4" xfId="0" applyFont="1" applyFill="1" applyBorder="1" applyAlignment="1" applyProtection="1">
      <alignment horizontal="center" vertical="center" shrinkToFit="1"/>
      <protection locked="0"/>
    </xf>
    <xf numFmtId="0" fontId="22" fillId="4" borderId="68" xfId="0" applyFont="1" applyFill="1" applyBorder="1" applyAlignment="1" applyProtection="1">
      <alignment horizontal="center" vertical="center" shrinkToFit="1"/>
      <protection locked="0"/>
    </xf>
    <xf numFmtId="0" fontId="22" fillId="4" borderId="5" xfId="0" applyFont="1" applyFill="1" applyBorder="1" applyAlignment="1" applyProtection="1">
      <alignment horizontal="center" vertical="center" shrinkToFit="1"/>
      <protection locked="0"/>
    </xf>
    <xf numFmtId="0" fontId="22" fillId="4" borderId="6" xfId="0" applyFont="1" applyFill="1" applyBorder="1" applyAlignment="1" applyProtection="1">
      <alignment horizontal="center" vertical="center" shrinkToFit="1"/>
      <protection locked="0"/>
    </xf>
    <xf numFmtId="0" fontId="22" fillId="5" borderId="4" xfId="0" applyFont="1" applyFill="1" applyBorder="1" applyAlignment="1" applyProtection="1">
      <alignment horizontal="center" vertical="center" shrinkToFit="1"/>
    </xf>
    <xf numFmtId="0" fontId="22" fillId="5" borderId="5" xfId="0" applyFont="1" applyFill="1" applyBorder="1" applyAlignment="1" applyProtection="1">
      <alignment horizontal="center" vertical="center" shrinkToFit="1"/>
    </xf>
    <xf numFmtId="0" fontId="22" fillId="5" borderId="6" xfId="0" applyFont="1" applyFill="1" applyBorder="1" applyAlignment="1" applyProtection="1">
      <alignment horizontal="center" vertical="center" shrinkToFit="1"/>
    </xf>
    <xf numFmtId="0" fontId="23" fillId="0" borderId="7" xfId="0" applyFont="1" applyBorder="1" applyAlignment="1" applyProtection="1">
      <alignment horizontal="left" vertical="center" shrinkToFit="1"/>
    </xf>
    <xf numFmtId="0" fontId="23" fillId="0" borderId="3" xfId="0" applyFont="1" applyBorder="1" applyAlignment="1" applyProtection="1">
      <alignment horizontal="left" vertical="center" shrinkToFit="1"/>
    </xf>
    <xf numFmtId="0" fontId="21" fillId="0" borderId="3" xfId="0" applyFont="1" applyBorder="1" applyAlignment="1" applyProtection="1">
      <alignment horizontal="left" vertical="center" shrinkToFit="1"/>
    </xf>
    <xf numFmtId="0" fontId="21" fillId="0" borderId="8" xfId="0" applyFont="1" applyBorder="1" applyAlignment="1" applyProtection="1">
      <alignment horizontal="left" vertical="center" shrinkToFit="1"/>
    </xf>
    <xf numFmtId="0" fontId="23" fillId="0" borderId="8" xfId="0" applyFont="1" applyBorder="1" applyAlignment="1" applyProtection="1">
      <alignment horizontal="left" vertical="center" shrinkToFit="1"/>
    </xf>
    <xf numFmtId="0" fontId="21" fillId="0" borderId="7" xfId="0" applyFont="1" applyBorder="1" applyAlignment="1" applyProtection="1">
      <alignment horizontal="left" vertical="center" shrinkToFit="1"/>
    </xf>
    <xf numFmtId="0" fontId="21" fillId="0" borderId="9" xfId="0" applyFont="1" applyBorder="1" applyAlignment="1" applyProtection="1">
      <alignment horizontal="left" vertical="center" shrinkToFit="1"/>
    </xf>
    <xf numFmtId="0" fontId="21" fillId="0" borderId="10" xfId="0" applyFont="1" applyBorder="1" applyAlignment="1" applyProtection="1">
      <alignment horizontal="left" vertical="center" shrinkToFit="1"/>
    </xf>
    <xf numFmtId="0" fontId="21" fillId="0" borderId="11" xfId="0" applyFont="1" applyBorder="1" applyAlignment="1" applyProtection="1">
      <alignment horizontal="left" vertical="center" shrinkToFit="1"/>
    </xf>
    <xf numFmtId="0" fontId="23" fillId="0" borderId="23" xfId="0" applyFont="1" applyBorder="1" applyAlignment="1">
      <alignment horizontal="left" vertical="center" indent="1" shrinkToFit="1"/>
    </xf>
    <xf numFmtId="0" fontId="23" fillId="0" borderId="7" xfId="0" applyFont="1" applyBorder="1" applyAlignment="1" applyProtection="1">
      <alignment horizontal="center" vertical="center" shrinkToFit="1"/>
      <protection locked="0"/>
    </xf>
    <xf numFmtId="0" fontId="23" fillId="0" borderId="145" xfId="0" applyFont="1" applyBorder="1" applyAlignment="1" applyProtection="1">
      <alignment horizontal="center" vertical="center" shrinkToFit="1"/>
      <protection locked="0"/>
    </xf>
    <xf numFmtId="0" fontId="23" fillId="0" borderId="123" xfId="0" applyFont="1" applyBorder="1" applyAlignment="1" applyProtection="1">
      <alignment horizontal="center" vertical="center" shrinkToFit="1"/>
      <protection locked="0"/>
    </xf>
    <xf numFmtId="0" fontId="23" fillId="0" borderId="8" xfId="0" applyFont="1" applyBorder="1" applyAlignment="1" applyProtection="1">
      <alignment horizontal="center" vertical="center" shrinkToFit="1"/>
      <protection locked="0"/>
    </xf>
    <xf numFmtId="0" fontId="23" fillId="0" borderId="9" xfId="0" applyFont="1" applyBorder="1" applyAlignment="1" applyProtection="1">
      <alignment horizontal="center" vertical="center" shrinkToFit="1"/>
      <protection locked="0"/>
    </xf>
    <xf numFmtId="0" fontId="23" fillId="0" borderId="146" xfId="0" applyFont="1" applyBorder="1" applyAlignment="1" applyProtection="1">
      <alignment horizontal="center" vertical="center" shrinkToFit="1"/>
      <protection locked="0"/>
    </xf>
    <xf numFmtId="0" fontId="23" fillId="0" borderId="10" xfId="0" applyFont="1" applyBorder="1" applyAlignment="1" applyProtection="1">
      <alignment horizontal="center" vertical="center" shrinkToFit="1"/>
      <protection locked="0"/>
    </xf>
    <xf numFmtId="0" fontId="23" fillId="0" borderId="11" xfId="0" applyFont="1" applyBorder="1" applyAlignment="1" applyProtection="1">
      <alignment horizontal="center" vertical="center" shrinkToFit="1"/>
      <protection locked="0"/>
    </xf>
    <xf numFmtId="0" fontId="23" fillId="0" borderId="0" xfId="0" applyFont="1" applyBorder="1" applyAlignment="1" applyProtection="1">
      <alignment horizontal="left" vertical="center" shrinkToFit="1"/>
    </xf>
    <xf numFmtId="0" fontId="21" fillId="0" borderId="0" xfId="0" applyFont="1" applyAlignment="1" applyProtection="1">
      <alignment horizontal="left" vertical="center" shrinkToFit="1"/>
    </xf>
    <xf numFmtId="0" fontId="21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center" vertical="center"/>
    </xf>
    <xf numFmtId="0" fontId="23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24" fillId="7" borderId="101" xfId="0" applyFont="1" applyFill="1" applyBorder="1" applyAlignment="1" applyProtection="1">
      <alignment horizontal="center" vertical="center" shrinkToFit="1"/>
    </xf>
    <xf numFmtId="0" fontId="21" fillId="0" borderId="0" xfId="0" applyFont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0" fillId="0" borderId="0" xfId="0" applyProtection="1">
      <alignment vertical="center"/>
    </xf>
    <xf numFmtId="0" fontId="23" fillId="15" borderId="149" xfId="0" applyFont="1" applyFill="1" applyBorder="1" applyAlignment="1" applyProtection="1">
      <alignment horizontal="center" vertical="center" shrinkToFit="1"/>
    </xf>
    <xf numFmtId="0" fontId="23" fillId="0" borderId="0" xfId="0" applyFont="1" applyProtection="1">
      <alignment vertical="center"/>
    </xf>
    <xf numFmtId="0" fontId="23" fillId="0" borderId="0" xfId="0" applyFont="1" applyFill="1" applyBorder="1" applyAlignment="1" applyProtection="1">
      <alignment horizontal="center" vertical="center" shrinkToFit="1"/>
    </xf>
    <xf numFmtId="0" fontId="23" fillId="15" borderId="150" xfId="0" applyFont="1" applyFill="1" applyBorder="1" applyAlignment="1" applyProtection="1">
      <alignment horizontal="center" vertical="center" shrinkToFit="1"/>
    </xf>
    <xf numFmtId="0" fontId="21" fillId="3" borderId="150" xfId="0" applyFont="1" applyFill="1" applyBorder="1" applyAlignment="1" applyProtection="1">
      <alignment horizontal="center" vertical="center" shrinkToFit="1"/>
    </xf>
    <xf numFmtId="0" fontId="22" fillId="0" borderId="0" xfId="0" applyFont="1" applyAlignment="1" applyProtection="1">
      <alignment horizontal="left" vertical="center" shrinkToFit="1"/>
    </xf>
    <xf numFmtId="0" fontId="23" fillId="0" borderId="152" xfId="0" applyFont="1" applyBorder="1" applyAlignment="1">
      <alignment horizontal="center" vertical="center" shrinkToFit="1"/>
    </xf>
    <xf numFmtId="0" fontId="23" fillId="0" borderId="153" xfId="0" applyFont="1" applyBorder="1" applyAlignment="1">
      <alignment horizontal="left" vertical="center" indent="1" shrinkToFit="1"/>
    </xf>
    <xf numFmtId="0" fontId="23" fillId="0" borderId="154" xfId="0" applyFont="1" applyBorder="1" applyAlignment="1">
      <alignment horizontal="center" vertical="center" shrinkToFit="1"/>
    </xf>
    <xf numFmtId="41" fontId="44" fillId="0" borderId="155" xfId="0" applyNumberFormat="1" applyFont="1" applyBorder="1" applyAlignment="1">
      <alignment horizontal="center" vertical="center" wrapText="1"/>
    </xf>
    <xf numFmtId="41" fontId="44" fillId="0" borderId="99" xfId="0" applyNumberFormat="1" applyFont="1" applyBorder="1" applyAlignment="1">
      <alignment horizontal="center" vertical="center" wrapText="1"/>
    </xf>
    <xf numFmtId="41" fontId="44" fillId="0" borderId="156" xfId="0" applyNumberFormat="1" applyFont="1" applyBorder="1" applyAlignment="1">
      <alignment horizontal="center" vertical="center" wrapText="1"/>
    </xf>
    <xf numFmtId="180" fontId="38" fillId="2" borderId="158" xfId="0" applyNumberFormat="1" applyFont="1" applyFill="1" applyBorder="1" applyAlignment="1">
      <alignment horizontal="center" vertical="center"/>
    </xf>
    <xf numFmtId="0" fontId="38" fillId="2" borderId="159" xfId="0" applyFont="1" applyFill="1" applyBorder="1" applyAlignment="1">
      <alignment horizontal="center" vertical="center" shrinkToFit="1"/>
    </xf>
    <xf numFmtId="178" fontId="38" fillId="2" borderId="159" xfId="1" applyNumberFormat="1" applyFont="1" applyFill="1" applyBorder="1" applyAlignment="1">
      <alignment horizontal="center" vertical="center"/>
    </xf>
    <xf numFmtId="178" fontId="38" fillId="4" borderId="160" xfId="1" applyNumberFormat="1" applyFont="1" applyFill="1" applyBorder="1" applyAlignment="1">
      <alignment horizontal="center" vertical="center"/>
    </xf>
    <xf numFmtId="180" fontId="35" fillId="6" borderId="161" xfId="0" applyNumberFormat="1" applyFont="1" applyFill="1" applyBorder="1" applyAlignment="1">
      <alignment horizontal="center" vertical="center"/>
    </xf>
    <xf numFmtId="0" fontId="35" fillId="6" borderId="157" xfId="0" applyFont="1" applyFill="1" applyBorder="1" applyAlignment="1">
      <alignment vertical="center" shrinkToFit="1"/>
    </xf>
    <xf numFmtId="178" fontId="35" fillId="6" borderId="157" xfId="1" applyNumberFormat="1" applyFont="1" applyFill="1" applyBorder="1" applyAlignment="1">
      <alignment vertical="center"/>
    </xf>
    <xf numFmtId="178" fontId="35" fillId="6" borderId="162" xfId="1" applyNumberFormat="1" applyFont="1" applyFill="1" applyBorder="1" applyAlignment="1">
      <alignment vertical="center"/>
    </xf>
    <xf numFmtId="0" fontId="36" fillId="6" borderId="157" xfId="0" applyFont="1" applyFill="1" applyBorder="1" applyAlignment="1">
      <alignment vertical="center" shrinkToFit="1"/>
    </xf>
    <xf numFmtId="178" fontId="37" fillId="6" borderId="157" xfId="1" applyNumberFormat="1" applyFont="1" applyFill="1" applyBorder="1" applyAlignment="1">
      <alignment vertical="center"/>
    </xf>
    <xf numFmtId="0" fontId="35" fillId="6" borderId="62" xfId="0" applyFont="1" applyFill="1" applyBorder="1" applyAlignment="1" applyProtection="1">
      <alignment vertical="center" shrinkToFit="1"/>
      <protection locked="0"/>
    </xf>
    <xf numFmtId="0" fontId="50" fillId="0" borderId="0" xfId="0" applyFont="1" applyBorder="1" applyAlignment="1" applyProtection="1">
      <alignment horizontal="center" vertical="center" shrinkToFit="1"/>
    </xf>
    <xf numFmtId="14" fontId="44" fillId="4" borderId="8" xfId="0" applyNumberFormat="1" applyFont="1" applyFill="1" applyBorder="1" applyAlignment="1" applyProtection="1">
      <alignment horizontal="center" vertical="center"/>
      <protection locked="0"/>
    </xf>
    <xf numFmtId="14" fontId="44" fillId="4" borderId="11" xfId="0" applyNumberFormat="1" applyFont="1" applyFill="1" applyBorder="1" applyAlignment="1" applyProtection="1">
      <alignment horizontal="center" vertical="center"/>
      <protection locked="0"/>
    </xf>
    <xf numFmtId="0" fontId="47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77" fontId="5" fillId="0" borderId="139" xfId="1" applyNumberFormat="1" applyFont="1" applyBorder="1" applyAlignment="1">
      <alignment horizontal="right" vertical="center" indent="1" shrinkToFit="1"/>
    </xf>
    <xf numFmtId="177" fontId="5" fillId="0" borderId="140" xfId="1" applyNumberFormat="1" applyFont="1" applyBorder="1" applyAlignment="1">
      <alignment horizontal="right" vertical="center" indent="1" shrinkToFit="1"/>
    </xf>
    <xf numFmtId="177" fontId="5" fillId="0" borderId="16" xfId="1" applyNumberFormat="1" applyFont="1" applyBorder="1" applyAlignment="1">
      <alignment horizontal="right" vertical="center" indent="1" shrinkToFit="1"/>
    </xf>
    <xf numFmtId="177" fontId="5" fillId="0" borderId="19" xfId="1" applyNumberFormat="1" applyFont="1" applyBorder="1" applyAlignment="1">
      <alignment horizontal="right" vertical="center" indent="1" shrinkToFit="1"/>
    </xf>
    <xf numFmtId="177" fontId="5" fillId="0" borderId="124" xfId="1" applyNumberFormat="1" applyFont="1" applyBorder="1" applyAlignment="1">
      <alignment horizontal="right" vertical="center" indent="1" shrinkToFit="1"/>
    </xf>
    <xf numFmtId="0" fontId="5" fillId="0" borderId="137" xfId="0" applyFont="1" applyBorder="1" applyAlignment="1">
      <alignment horizontal="left" vertical="center" indent="1" shrinkToFit="1"/>
    </xf>
    <xf numFmtId="0" fontId="5" fillId="0" borderId="138" xfId="0" applyFont="1" applyBorder="1" applyAlignment="1">
      <alignment horizontal="left" vertical="center" indent="1" shrinkToFit="1"/>
    </xf>
    <xf numFmtId="0" fontId="5" fillId="0" borderId="122" xfId="0" applyFont="1" applyBorder="1" applyAlignment="1">
      <alignment horizontal="left" vertical="center" indent="1" shrinkToFit="1"/>
    </xf>
    <xf numFmtId="0" fontId="5" fillId="0" borderId="32" xfId="0" applyFont="1" applyBorder="1" applyAlignment="1">
      <alignment horizontal="left" vertical="center" indent="1" shrinkToFit="1"/>
    </xf>
    <xf numFmtId="176" fontId="5" fillId="0" borderId="5" xfId="0" applyNumberFormat="1" applyFont="1" applyBorder="1" applyAlignment="1" applyProtection="1">
      <alignment horizontal="center" vertical="center"/>
      <protection locked="0"/>
    </xf>
    <xf numFmtId="41" fontId="5" fillId="0" borderId="13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1" fontId="7" fillId="0" borderId="96" xfId="1" applyFont="1" applyBorder="1" applyAlignment="1">
      <alignment horizontal="center" vertical="center"/>
    </xf>
    <xf numFmtId="177" fontId="7" fillId="0" borderId="96" xfId="0" applyNumberFormat="1" applyFont="1" applyBorder="1" applyAlignment="1">
      <alignment horizontal="center" vertical="center"/>
    </xf>
    <xf numFmtId="0" fontId="7" fillId="0" borderId="69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 shrinkToFit="1"/>
    </xf>
    <xf numFmtId="0" fontId="5" fillId="0" borderId="127" xfId="0" applyFont="1" applyBorder="1" applyAlignment="1">
      <alignment horizontal="center" vertical="center" shrinkToFit="1"/>
    </xf>
    <xf numFmtId="177" fontId="5" fillId="0" borderId="3" xfId="1" applyNumberFormat="1" applyFont="1" applyBorder="1" applyAlignment="1">
      <alignment horizontal="right" vertical="center" indent="1"/>
    </xf>
    <xf numFmtId="0" fontId="5" fillId="0" borderId="16" xfId="0" applyFont="1" applyBorder="1" applyAlignment="1">
      <alignment horizontal="left" vertical="center" indent="1" shrinkToFit="1"/>
    </xf>
    <xf numFmtId="0" fontId="5" fillId="0" borderId="125" xfId="0" applyFont="1" applyBorder="1" applyAlignment="1">
      <alignment horizontal="left" vertical="center" indent="1" shrinkToFit="1"/>
    </xf>
    <xf numFmtId="0" fontId="7" fillId="0" borderId="128" xfId="0" applyFont="1" applyBorder="1" applyAlignment="1">
      <alignment horizontal="center" vertical="center"/>
    </xf>
    <xf numFmtId="0" fontId="7" fillId="0" borderId="12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indent="1" shrinkToFit="1"/>
    </xf>
    <xf numFmtId="0" fontId="5" fillId="0" borderId="13" xfId="0" applyFont="1" applyBorder="1" applyAlignment="1">
      <alignment horizontal="left" vertical="center" indent="1" shrinkToFit="1"/>
    </xf>
    <xf numFmtId="0" fontId="5" fillId="0" borderId="15" xfId="0" applyFont="1" applyBorder="1" applyAlignment="1">
      <alignment horizontal="left" vertical="center" indent="1" shrinkToFit="1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41" fontId="10" fillId="0" borderId="3" xfId="1" applyFont="1" applyBorder="1" applyAlignment="1">
      <alignment horizontal="center" vertical="center"/>
    </xf>
    <xf numFmtId="41" fontId="10" fillId="0" borderId="33" xfId="1" applyFont="1" applyBorder="1" applyAlignment="1">
      <alignment horizontal="center" vertical="center"/>
    </xf>
    <xf numFmtId="177" fontId="5" fillId="0" borderId="20" xfId="1" applyNumberFormat="1" applyFont="1" applyBorder="1" applyAlignment="1">
      <alignment horizontal="right" vertical="center" indent="1"/>
    </xf>
    <xf numFmtId="177" fontId="5" fillId="0" borderId="23" xfId="1" applyNumberFormat="1" applyFont="1" applyBorder="1" applyAlignment="1">
      <alignment horizontal="right" vertical="center" indent="1"/>
    </xf>
    <xf numFmtId="0" fontId="5" fillId="0" borderId="31" xfId="0" applyFont="1" applyBorder="1" applyAlignment="1">
      <alignment horizontal="left" vertical="center" indent="1" shrinkToFit="1"/>
    </xf>
    <xf numFmtId="0" fontId="5" fillId="0" borderId="131" xfId="0" applyFont="1" applyBorder="1" applyAlignment="1">
      <alignment horizontal="left" vertical="center" indent="1" shrinkToFit="1"/>
    </xf>
    <xf numFmtId="0" fontId="5" fillId="0" borderId="132" xfId="0" applyFont="1" applyBorder="1" applyAlignment="1">
      <alignment horizontal="left" vertical="center" indent="1" shrinkToFit="1"/>
    </xf>
    <xf numFmtId="177" fontId="5" fillId="0" borderId="24" xfId="1" applyNumberFormat="1" applyFont="1" applyBorder="1" applyAlignment="1">
      <alignment horizontal="right" vertical="center" indent="1" shrinkToFit="1"/>
    </xf>
    <xf numFmtId="177" fontId="5" fillId="0" borderId="25" xfId="1" applyNumberFormat="1" applyFont="1" applyBorder="1" applyAlignment="1">
      <alignment horizontal="right" vertical="center" indent="1" shrinkToFit="1"/>
    </xf>
    <xf numFmtId="177" fontId="5" fillId="0" borderId="31" xfId="1" applyNumberFormat="1" applyFont="1" applyBorder="1" applyAlignment="1">
      <alignment horizontal="right" vertical="center" indent="1" shrinkToFit="1"/>
    </xf>
    <xf numFmtId="177" fontId="5" fillId="0" borderId="32" xfId="1" applyNumberFormat="1" applyFont="1" applyBorder="1" applyAlignment="1">
      <alignment horizontal="right" vertical="center" indent="1" shrinkToFit="1"/>
    </xf>
    <xf numFmtId="177" fontId="9" fillId="0" borderId="26" xfId="1" applyNumberFormat="1" applyFont="1" applyBorder="1" applyAlignment="1">
      <alignment horizontal="center" vertical="top"/>
    </xf>
    <xf numFmtId="41" fontId="9" fillId="0" borderId="30" xfId="1" applyFont="1" applyBorder="1" applyAlignment="1">
      <alignment horizontal="center" vertical="top"/>
    </xf>
    <xf numFmtId="41" fontId="9" fillId="0" borderId="27" xfId="1" applyFont="1" applyBorder="1" applyAlignment="1">
      <alignment horizontal="center" vertical="top"/>
    </xf>
    <xf numFmtId="41" fontId="9" fillId="0" borderId="28" xfId="1" applyFont="1" applyBorder="1" applyAlignment="1">
      <alignment horizontal="center" vertical="top"/>
    </xf>
    <xf numFmtId="41" fontId="9" fillId="0" borderId="2" xfId="1" applyFont="1" applyBorder="1" applyAlignment="1">
      <alignment horizontal="center" vertical="top"/>
    </xf>
    <xf numFmtId="41" fontId="9" fillId="0" borderId="29" xfId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indent="1" shrinkToFit="1"/>
    </xf>
    <xf numFmtId="0" fontId="5" fillId="0" borderId="19" xfId="0" applyFont="1" applyBorder="1" applyAlignment="1">
      <alignment horizontal="left" vertical="center" indent="1" shrinkToFi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41" fontId="5" fillId="0" borderId="3" xfId="1" applyFont="1" applyBorder="1" applyAlignment="1">
      <alignment horizontal="center" vertical="center"/>
    </xf>
    <xf numFmtId="41" fontId="5" fillId="0" borderId="33" xfId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3" xfId="0" applyFont="1" applyBorder="1" applyAlignment="1">
      <alignment horizontal="center" vertical="center"/>
    </xf>
    <xf numFmtId="177" fontId="9" fillId="0" borderId="26" xfId="0" applyNumberFormat="1" applyFont="1" applyBorder="1" applyAlignment="1">
      <alignment horizontal="center" vertical="top"/>
    </xf>
    <xf numFmtId="0" fontId="9" fillId="0" borderId="27" xfId="0" applyFont="1" applyBorder="1" applyAlignment="1">
      <alignment horizontal="center" vertical="top"/>
    </xf>
    <xf numFmtId="0" fontId="9" fillId="0" borderId="28" xfId="0" applyFont="1" applyBorder="1" applyAlignment="1">
      <alignment horizontal="center" vertical="top"/>
    </xf>
    <xf numFmtId="0" fontId="9" fillId="0" borderId="29" xfId="0" applyFont="1" applyBorder="1" applyAlignment="1">
      <alignment horizontal="center" vertical="top"/>
    </xf>
    <xf numFmtId="41" fontId="45" fillId="7" borderId="3" xfId="1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4" fillId="12" borderId="68" xfId="0" applyFont="1" applyFill="1" applyBorder="1" applyAlignment="1">
      <alignment horizontal="center" vertical="center" wrapText="1"/>
    </xf>
    <xf numFmtId="0" fontId="44" fillId="12" borderId="5" xfId="0" applyFont="1" applyFill="1" applyBorder="1" applyAlignment="1">
      <alignment horizontal="center" vertical="center" wrapText="1"/>
    </xf>
    <xf numFmtId="0" fontId="44" fillId="12" borderId="67" xfId="0" applyFont="1" applyFill="1" applyBorder="1" applyAlignment="1">
      <alignment horizontal="center" vertical="center" wrapText="1"/>
    </xf>
    <xf numFmtId="0" fontId="44" fillId="12" borderId="108" xfId="0" applyFont="1" applyFill="1" applyBorder="1" applyAlignment="1">
      <alignment horizontal="center" vertical="center" wrapText="1"/>
    </xf>
    <xf numFmtId="0" fontId="44" fillId="12" borderId="110" xfId="0" applyFont="1" applyFill="1" applyBorder="1" applyAlignment="1">
      <alignment horizontal="center" vertical="center" wrapText="1"/>
    </xf>
    <xf numFmtId="0" fontId="44" fillId="12" borderId="111" xfId="0" applyFont="1" applyFill="1" applyBorder="1" applyAlignment="1">
      <alignment horizontal="center" vertical="center" wrapText="1"/>
    </xf>
    <xf numFmtId="0" fontId="45" fillId="0" borderId="2" xfId="0" applyFont="1" applyBorder="1" applyAlignment="1">
      <alignment horizontal="left" vertical="center" wrapText="1" indent="1"/>
    </xf>
    <xf numFmtId="0" fontId="23" fillId="0" borderId="117" xfId="0" applyFont="1" applyBorder="1" applyAlignment="1">
      <alignment horizontal="center" vertical="center"/>
    </xf>
    <xf numFmtId="0" fontId="23" fillId="0" borderId="114" xfId="0" applyFont="1" applyBorder="1" applyAlignment="1">
      <alignment horizontal="center" vertical="center"/>
    </xf>
    <xf numFmtId="0" fontId="23" fillId="0" borderId="115" xfId="0" applyFont="1" applyBorder="1" applyAlignment="1">
      <alignment horizontal="center" vertical="center"/>
    </xf>
    <xf numFmtId="0" fontId="23" fillId="0" borderId="118" xfId="0" applyFont="1" applyBorder="1" applyAlignment="1">
      <alignment horizontal="center" vertical="center" shrinkToFit="1"/>
    </xf>
    <xf numFmtId="0" fontId="23" fillId="0" borderId="119" xfId="0" applyFont="1" applyBorder="1" applyAlignment="1">
      <alignment horizontal="center" vertical="center" shrinkToFit="1"/>
    </xf>
    <xf numFmtId="0" fontId="23" fillId="0" borderId="121" xfId="0" applyFont="1" applyBorder="1" applyAlignment="1">
      <alignment horizontal="center" vertical="center"/>
    </xf>
    <xf numFmtId="0" fontId="23" fillId="0" borderId="118" xfId="0" applyFont="1" applyBorder="1" applyAlignment="1">
      <alignment horizontal="center" vertical="center"/>
    </xf>
    <xf numFmtId="0" fontId="23" fillId="0" borderId="119" xfId="0" applyFont="1" applyBorder="1" applyAlignment="1">
      <alignment horizontal="center" vertical="center"/>
    </xf>
    <xf numFmtId="0" fontId="21" fillId="0" borderId="114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3" fillId="0" borderId="83" xfId="0" applyFont="1" applyBorder="1" applyAlignment="1">
      <alignment horizontal="left" vertical="center" indent="1" shrinkToFit="1"/>
    </xf>
    <xf numFmtId="0" fontId="23" fillId="0" borderId="23" xfId="0" applyFont="1" applyBorder="1" applyAlignment="1">
      <alignment horizontal="left" vertical="center" indent="1" shrinkToFit="1"/>
    </xf>
    <xf numFmtId="41" fontId="44" fillId="0" borderId="76" xfId="1" applyFont="1" applyBorder="1" applyAlignment="1">
      <alignment horizontal="center" vertical="center" wrapText="1"/>
    </xf>
    <xf numFmtId="41" fontId="44" fillId="0" borderId="144" xfId="1" applyFont="1" applyBorder="1" applyAlignment="1">
      <alignment horizontal="center" vertical="center" wrapText="1"/>
    </xf>
    <xf numFmtId="0" fontId="23" fillId="0" borderId="143" xfId="0" applyFont="1" applyBorder="1" applyAlignment="1">
      <alignment horizontal="center" vertical="center" shrinkToFit="1"/>
    </xf>
    <xf numFmtId="0" fontId="23" fillId="0" borderId="113" xfId="0" applyFont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41" fontId="44" fillId="0" borderId="26" xfId="1" applyFont="1" applyBorder="1" applyAlignment="1">
      <alignment horizontal="center" vertical="center" wrapText="1"/>
    </xf>
    <xf numFmtId="41" fontId="44" fillId="0" borderId="99" xfId="1" applyFont="1" applyBorder="1" applyAlignment="1">
      <alignment horizontal="center" vertical="center" wrapText="1"/>
    </xf>
    <xf numFmtId="41" fontId="27" fillId="0" borderId="34" xfId="1" applyFont="1" applyFill="1" applyBorder="1" applyAlignment="1" applyProtection="1">
      <alignment vertical="center"/>
    </xf>
    <xf numFmtId="41" fontId="27" fillId="0" borderId="33" xfId="1" applyFont="1" applyFill="1" applyBorder="1" applyAlignment="1" applyProtection="1">
      <alignment vertical="center"/>
    </xf>
    <xf numFmtId="0" fontId="25" fillId="0" borderId="0" xfId="1" applyNumberFormat="1" applyFont="1" applyFill="1" applyBorder="1" applyAlignment="1" applyProtection="1">
      <alignment horizontal="center" vertical="center"/>
      <protection locked="0"/>
    </xf>
    <xf numFmtId="0" fontId="27" fillId="0" borderId="66" xfId="1" applyNumberFormat="1" applyFont="1" applyFill="1" applyBorder="1" applyAlignment="1" applyProtection="1">
      <alignment horizontal="center" vertical="center" wrapText="1"/>
    </xf>
    <xf numFmtId="0" fontId="27" fillId="0" borderId="37" xfId="1" applyNumberFormat="1" applyFont="1" applyFill="1" applyBorder="1" applyAlignment="1" applyProtection="1">
      <alignment horizontal="center" vertical="center" wrapText="1"/>
    </xf>
    <xf numFmtId="0" fontId="27" fillId="0" borderId="38" xfId="1" applyNumberFormat="1" applyFont="1" applyFill="1" applyBorder="1" applyAlignment="1" applyProtection="1">
      <alignment horizontal="center" vertical="center" wrapText="1"/>
    </xf>
    <xf numFmtId="0" fontId="26" fillId="0" borderId="67" xfId="1" applyNumberFormat="1" applyFont="1" applyFill="1" applyBorder="1" applyAlignment="1" applyProtection="1">
      <alignment horizontal="center" vertical="center"/>
    </xf>
    <xf numFmtId="0" fontId="26" fillId="0" borderId="1" xfId="1" applyNumberFormat="1" applyFont="1" applyFill="1" applyBorder="1" applyAlignment="1" applyProtection="1">
      <alignment horizontal="center" vertical="center"/>
    </xf>
    <xf numFmtId="0" fontId="26" fillId="0" borderId="84" xfId="1" applyNumberFormat="1" applyFont="1" applyFill="1" applyBorder="1" applyAlignment="1" applyProtection="1">
      <alignment horizontal="center" vertical="center"/>
    </xf>
    <xf numFmtId="0" fontId="26" fillId="0" borderId="70" xfId="1" applyNumberFormat="1" applyFont="1" applyFill="1" applyBorder="1" applyAlignment="1" applyProtection="1">
      <alignment horizontal="center" vertical="center"/>
    </xf>
    <xf numFmtId="0" fontId="26" fillId="0" borderId="35" xfId="1" applyNumberFormat="1" applyFont="1" applyFill="1" applyBorder="1" applyAlignment="1" applyProtection="1">
      <alignment horizontal="center" vertical="center"/>
    </xf>
    <xf numFmtId="0" fontId="26" fillId="0" borderId="85" xfId="1" applyNumberFormat="1" applyFont="1" applyFill="1" applyBorder="1" applyAlignment="1" applyProtection="1">
      <alignment horizontal="center" vertical="center"/>
    </xf>
    <xf numFmtId="0" fontId="27" fillId="0" borderId="71" xfId="1" applyNumberFormat="1" applyFont="1" applyFill="1" applyBorder="1" applyAlignment="1" applyProtection="1">
      <alignment horizontal="center" vertical="center"/>
    </xf>
    <xf numFmtId="0" fontId="27" fillId="0" borderId="73" xfId="1" applyNumberFormat="1" applyFont="1" applyFill="1" applyBorder="1" applyAlignment="1" applyProtection="1">
      <alignment horizontal="center" vertical="center"/>
    </xf>
    <xf numFmtId="0" fontId="27" fillId="0" borderId="78" xfId="1" applyNumberFormat="1" applyFont="1" applyFill="1" applyBorder="1" applyAlignment="1" applyProtection="1">
      <alignment horizontal="center" vertical="center"/>
    </xf>
    <xf numFmtId="0" fontId="27" fillId="0" borderId="34" xfId="1" applyNumberFormat="1" applyFont="1" applyFill="1" applyBorder="1" applyAlignment="1" applyProtection="1">
      <alignment horizontal="center" vertical="center"/>
    </xf>
    <xf numFmtId="0" fontId="27" fillId="0" borderId="33" xfId="1" applyNumberFormat="1" applyFont="1" applyFill="1" applyBorder="1" applyAlignment="1" applyProtection="1">
      <alignment horizontal="center" vertical="center"/>
    </xf>
    <xf numFmtId="0" fontId="27" fillId="0" borderId="26" xfId="1" applyNumberFormat="1" applyFont="1" applyFill="1" applyBorder="1" applyAlignment="1" applyProtection="1">
      <alignment horizontal="center" vertical="center"/>
    </xf>
    <xf numFmtId="0" fontId="27" fillId="0" borderId="30" xfId="1" applyNumberFormat="1" applyFont="1" applyFill="1" applyBorder="1" applyAlignment="1" applyProtection="1">
      <alignment horizontal="center" vertical="center"/>
    </xf>
    <xf numFmtId="0" fontId="27" fillId="0" borderId="86" xfId="1" applyNumberFormat="1" applyFont="1" applyFill="1" applyBorder="1" applyAlignment="1" applyProtection="1">
      <alignment horizontal="center" vertical="center"/>
    </xf>
    <xf numFmtId="0" fontId="27" fillId="0" borderId="88" xfId="1" applyNumberFormat="1" applyFont="1" applyFill="1" applyBorder="1" applyAlignment="1" applyProtection="1">
      <alignment horizontal="center" vertical="center"/>
    </xf>
    <xf numFmtId="0" fontId="27" fillId="0" borderId="87" xfId="1" applyNumberFormat="1" applyFont="1" applyFill="1" applyBorder="1" applyAlignment="1" applyProtection="1">
      <alignment horizontal="center" vertical="center"/>
    </xf>
    <xf numFmtId="0" fontId="27" fillId="0" borderId="27" xfId="1" applyNumberFormat="1" applyFont="1" applyFill="1" applyBorder="1" applyAlignment="1" applyProtection="1">
      <alignment horizontal="center" vertical="center"/>
    </xf>
    <xf numFmtId="0" fontId="27" fillId="0" borderId="89" xfId="1" applyNumberFormat="1" applyFont="1" applyFill="1" applyBorder="1" applyAlignment="1" applyProtection="1">
      <alignment horizontal="center" vertical="center"/>
    </xf>
    <xf numFmtId="0" fontId="27" fillId="0" borderId="65" xfId="1" applyNumberFormat="1" applyFont="1" applyFill="1" applyBorder="1" applyAlignment="1" applyProtection="1">
      <alignment horizontal="center" vertical="center"/>
    </xf>
    <xf numFmtId="0" fontId="27" fillId="0" borderId="83" xfId="1" applyNumberFormat="1" applyFont="1" applyFill="1" applyBorder="1" applyAlignment="1" applyProtection="1">
      <alignment horizontal="center" vertical="center"/>
    </xf>
    <xf numFmtId="0" fontId="27" fillId="0" borderId="72" xfId="1" applyNumberFormat="1" applyFont="1" applyFill="1" applyBorder="1" applyAlignment="1" applyProtection="1">
      <alignment horizontal="center" vertical="center" wrapText="1"/>
    </xf>
    <xf numFmtId="0" fontId="27" fillId="0" borderId="88" xfId="1" applyNumberFormat="1" applyFont="1" applyFill="1" applyBorder="1" applyAlignment="1" applyProtection="1">
      <alignment horizontal="center" vertical="center" wrapText="1"/>
    </xf>
    <xf numFmtId="0" fontId="27" fillId="0" borderId="21" xfId="1" applyNumberFormat="1" applyFont="1" applyFill="1" applyBorder="1" applyAlignment="1" applyProtection="1">
      <alignment vertical="center"/>
    </xf>
    <xf numFmtId="0" fontId="27" fillId="0" borderId="23" xfId="1" applyNumberFormat="1" applyFont="1" applyFill="1" applyBorder="1" applyAlignment="1" applyProtection="1">
      <alignment vertical="center"/>
    </xf>
    <xf numFmtId="0" fontId="27" fillId="10" borderId="20" xfId="1" applyNumberFormat="1" applyFont="1" applyFill="1" applyBorder="1" applyAlignment="1" applyProtection="1">
      <alignment horizontal="center" vertical="center"/>
    </xf>
    <xf numFmtId="0" fontId="27" fillId="10" borderId="21" xfId="1" applyNumberFormat="1" applyFont="1" applyFill="1" applyBorder="1" applyAlignment="1" applyProtection="1">
      <alignment horizontal="center" vertical="center"/>
    </xf>
    <xf numFmtId="0" fontId="27" fillId="10" borderId="22" xfId="1" applyNumberFormat="1" applyFont="1" applyFill="1" applyBorder="1" applyAlignment="1" applyProtection="1">
      <alignment horizontal="center" vertical="center"/>
    </xf>
    <xf numFmtId="0" fontId="27" fillId="0" borderId="36" xfId="1" applyNumberFormat="1" applyFont="1" applyFill="1" applyBorder="1" applyAlignment="1" applyProtection="1">
      <alignment horizontal="center" vertical="center"/>
    </xf>
    <xf numFmtId="0" fontId="27" fillId="0" borderId="38" xfId="1" applyNumberFormat="1" applyFont="1" applyFill="1" applyBorder="1" applyAlignment="1" applyProtection="1">
      <alignment horizontal="center" vertical="center"/>
    </xf>
    <xf numFmtId="41" fontId="27" fillId="10" borderId="34" xfId="1" applyFont="1" applyFill="1" applyBorder="1" applyAlignment="1" applyProtection="1">
      <alignment vertical="center"/>
    </xf>
    <xf numFmtId="41" fontId="27" fillId="10" borderId="91" xfId="1" applyFont="1" applyFill="1" applyBorder="1" applyAlignment="1" applyProtection="1">
      <alignment vertical="center"/>
    </xf>
    <xf numFmtId="41" fontId="27" fillId="10" borderId="40" xfId="1" applyFont="1" applyFill="1" applyBorder="1" applyAlignment="1" applyProtection="1">
      <alignment vertical="center"/>
    </xf>
    <xf numFmtId="41" fontId="27" fillId="0" borderId="72" xfId="1" applyFont="1" applyFill="1" applyBorder="1" applyAlignment="1" applyProtection="1">
      <alignment vertical="center"/>
    </xf>
    <xf numFmtId="41" fontId="27" fillId="0" borderId="88" xfId="1" applyFont="1" applyFill="1" applyBorder="1" applyAlignment="1" applyProtection="1">
      <alignment vertical="center"/>
    </xf>
    <xf numFmtId="0" fontId="27" fillId="0" borderId="37" xfId="1" applyNumberFormat="1" applyFont="1" applyFill="1" applyBorder="1" applyAlignment="1" applyProtection="1">
      <alignment horizontal="center" vertical="center"/>
    </xf>
    <xf numFmtId="0" fontId="27" fillId="0" borderId="39" xfId="1" applyNumberFormat="1" applyFont="1" applyFill="1" applyBorder="1" applyAlignment="1" applyProtection="1">
      <alignment horizontal="center" vertical="center"/>
    </xf>
    <xf numFmtId="0" fontId="27" fillId="0" borderId="66" xfId="1" applyNumberFormat="1" applyFont="1" applyFill="1" applyBorder="1" applyAlignment="1" applyProtection="1">
      <alignment horizontal="center" vertical="center"/>
    </xf>
    <xf numFmtId="41" fontId="29" fillId="11" borderId="93" xfId="1" applyFont="1" applyFill="1" applyBorder="1" applyAlignment="1" applyProtection="1">
      <alignment vertical="center"/>
    </xf>
    <xf numFmtId="41" fontId="29" fillId="11" borderId="40" xfId="1" applyFont="1" applyFill="1" applyBorder="1" applyAlignment="1" applyProtection="1">
      <alignment vertical="center"/>
    </xf>
    <xf numFmtId="41" fontId="29" fillId="11" borderId="94" xfId="1" applyFont="1" applyFill="1" applyBorder="1" applyAlignment="1" applyProtection="1">
      <alignment vertical="center"/>
    </xf>
    <xf numFmtId="41" fontId="29" fillId="11" borderId="74" xfId="1" applyFont="1" applyFill="1" applyBorder="1" applyAlignment="1" applyProtection="1">
      <alignment vertical="center"/>
    </xf>
    <xf numFmtId="0" fontId="27" fillId="0" borderId="77" xfId="1" applyNumberFormat="1" applyFont="1" applyFill="1" applyBorder="1" applyAlignment="1" applyProtection="1">
      <alignment horizontal="center" vertical="center"/>
    </xf>
    <xf numFmtId="0" fontId="27" fillId="0" borderId="95" xfId="1" applyNumberFormat="1" applyFont="1" applyFill="1" applyBorder="1" applyAlignment="1" applyProtection="1">
      <alignment horizontal="center" vertical="center"/>
    </xf>
    <xf numFmtId="0" fontId="27" fillId="0" borderId="93" xfId="1" applyNumberFormat="1" applyFont="1" applyFill="1" applyBorder="1" applyAlignment="1" applyProtection="1">
      <alignment horizontal="center" vertical="center"/>
    </xf>
    <xf numFmtId="0" fontId="27" fillId="0" borderId="75" xfId="1" applyNumberFormat="1" applyFont="1" applyFill="1" applyBorder="1" applyAlignment="1" applyProtection="1">
      <alignment horizontal="center" vertical="center"/>
    </xf>
    <xf numFmtId="0" fontId="27" fillId="0" borderId="29" xfId="1" applyNumberFormat="1" applyFont="1" applyFill="1" applyBorder="1" applyAlignment="1" applyProtection="1">
      <alignment horizontal="center" vertical="center"/>
    </xf>
    <xf numFmtId="0" fontId="27" fillId="0" borderId="40" xfId="1" applyNumberFormat="1" applyFont="1" applyFill="1" applyBorder="1" applyAlignment="1" applyProtection="1">
      <alignment horizontal="center" vertical="center"/>
    </xf>
    <xf numFmtId="41" fontId="29" fillId="11" borderId="81" xfId="1" applyFont="1" applyFill="1" applyBorder="1" applyAlignment="1" applyProtection="1">
      <alignment vertical="center"/>
    </xf>
    <xf numFmtId="41" fontId="29" fillId="11" borderId="28" xfId="1" applyFont="1" applyFill="1" applyBorder="1" applyAlignment="1" applyProtection="1">
      <alignment vertical="center"/>
    </xf>
    <xf numFmtId="0" fontId="33" fillId="0" borderId="0" xfId="1" applyNumberFormat="1" applyFont="1" applyFill="1" applyBorder="1" applyAlignment="1" applyProtection="1">
      <alignment horizontal="distributed" vertical="center"/>
    </xf>
    <xf numFmtId="0" fontId="26" fillId="0" borderId="96" xfId="1" applyNumberFormat="1" applyFont="1" applyFill="1" applyBorder="1" applyAlignment="1" applyProtection="1">
      <alignment horizontal="right" vertical="center"/>
    </xf>
    <xf numFmtId="0" fontId="26" fillId="0" borderId="69" xfId="1" applyNumberFormat="1" applyFont="1" applyFill="1" applyBorder="1" applyAlignment="1" applyProtection="1">
      <alignment horizontal="right" vertical="center"/>
    </xf>
    <xf numFmtId="0" fontId="33" fillId="8" borderId="0" xfId="1" applyNumberFormat="1" applyFont="1" applyFill="1" applyBorder="1" applyAlignment="1" applyProtection="1">
      <alignment horizontal="center" vertical="center"/>
      <protection locked="0"/>
    </xf>
    <xf numFmtId="0" fontId="33" fillId="0" borderId="96" xfId="1" applyNumberFormat="1" applyFont="1" applyFill="1" applyBorder="1" applyAlignment="1" applyProtection="1">
      <alignment horizontal="right" vertical="center"/>
    </xf>
    <xf numFmtId="0" fontId="33" fillId="0" borderId="69" xfId="1" applyNumberFormat="1" applyFont="1" applyFill="1" applyBorder="1" applyAlignment="1" applyProtection="1">
      <alignment horizontal="right" vertical="center"/>
    </xf>
    <xf numFmtId="0" fontId="26" fillId="8" borderId="2" xfId="1" applyNumberFormat="1" applyFont="1" applyFill="1" applyBorder="1" applyAlignment="1" applyProtection="1">
      <alignment vertical="center" shrinkToFit="1"/>
    </xf>
    <xf numFmtId="0" fontId="27" fillId="0" borderId="90" xfId="1" applyNumberFormat="1" applyFont="1" applyFill="1" applyBorder="1" applyAlignment="1" applyProtection="1">
      <alignment horizontal="center" vertical="center"/>
    </xf>
    <xf numFmtId="0" fontId="27" fillId="0" borderId="21" xfId="1" applyNumberFormat="1" applyFont="1" applyFill="1" applyBorder="1" applyAlignment="1" applyProtection="1">
      <alignment horizontal="center" vertical="center"/>
    </xf>
    <xf numFmtId="0" fontId="27" fillId="0" borderId="23" xfId="1" applyNumberFormat="1" applyFont="1" applyFill="1" applyBorder="1" applyAlignment="1" applyProtection="1">
      <alignment horizontal="center" vertical="center"/>
    </xf>
    <xf numFmtId="0" fontId="27" fillId="0" borderId="70" xfId="1" applyNumberFormat="1" applyFont="1" applyFill="1" applyBorder="1" applyAlignment="1" applyProtection="1">
      <alignment horizontal="center" vertical="center"/>
    </xf>
    <xf numFmtId="0" fontId="27" fillId="0" borderId="35" xfId="1" applyNumberFormat="1" applyFont="1" applyFill="1" applyBorder="1" applyAlignment="1" applyProtection="1">
      <alignment horizontal="center" vertical="center"/>
    </xf>
    <xf numFmtId="0" fontId="27" fillId="0" borderId="68" xfId="1" applyNumberFormat="1" applyFont="1" applyFill="1" applyBorder="1" applyAlignment="1" applyProtection="1">
      <alignment horizontal="center" vertical="center"/>
    </xf>
    <xf numFmtId="0" fontId="27" fillId="0" borderId="98" xfId="1" applyNumberFormat="1" applyFont="1" applyFill="1" applyBorder="1" applyAlignment="1" applyProtection="1">
      <alignment horizontal="center" vertical="center"/>
    </xf>
    <xf numFmtId="0" fontId="27" fillId="0" borderId="2" xfId="1" applyNumberFormat="1" applyFont="1" applyFill="1" applyBorder="1" applyAlignment="1" applyProtection="1">
      <alignment horizontal="center" vertical="center"/>
    </xf>
    <xf numFmtId="0" fontId="49" fillId="0" borderId="151" xfId="0" applyFont="1" applyBorder="1" applyAlignment="1" applyProtection="1">
      <alignment horizontal="left" vertical="center" shrinkToFit="1"/>
    </xf>
    <xf numFmtId="0" fontId="49" fillId="0" borderId="2" xfId="0" applyFont="1" applyBorder="1" applyAlignment="1" applyProtection="1">
      <alignment horizontal="left" vertical="center" shrinkToFit="1"/>
    </xf>
    <xf numFmtId="0" fontId="21" fillId="0" borderId="151" xfId="0" applyFont="1" applyBorder="1" applyAlignment="1" applyProtection="1">
      <alignment horizontal="left" vertical="center" shrinkToFit="1"/>
    </xf>
    <xf numFmtId="0" fontId="21" fillId="0" borderId="2" xfId="0" applyFont="1" applyBorder="1" applyAlignment="1" applyProtection="1">
      <alignment horizontal="left" vertical="center" shrinkToFit="1"/>
    </xf>
    <xf numFmtId="0" fontId="24" fillId="3" borderId="163" xfId="0" applyFont="1" applyFill="1" applyBorder="1" applyAlignment="1" applyProtection="1">
      <alignment horizontal="center" vertical="center" shrinkToFit="1"/>
    </xf>
    <xf numFmtId="0" fontId="24" fillId="0" borderId="164" xfId="0" applyFont="1" applyBorder="1" applyAlignment="1" applyProtection="1">
      <alignment horizontal="center" vertical="center" shrinkToFit="1"/>
    </xf>
    <xf numFmtId="0" fontId="51" fillId="7" borderId="165" xfId="0" applyFont="1" applyFill="1" applyBorder="1" applyAlignment="1" applyProtection="1">
      <alignment horizontal="center" vertical="center" shrinkToFit="1"/>
      <protection locked="0"/>
    </xf>
    <xf numFmtId="0" fontId="52" fillId="0" borderId="166" xfId="0" applyFont="1" applyBorder="1" applyAlignment="1" applyProtection="1">
      <alignment horizontal="left" vertical="center" shrinkToFit="1"/>
    </xf>
    <xf numFmtId="0" fontId="52" fillId="0" borderId="0" xfId="0" applyFont="1" applyAlignment="1" applyProtection="1">
      <alignment horizontal="left" vertical="center" shrinkToFit="1"/>
    </xf>
  </cellXfs>
  <cellStyles count="44">
    <cellStyle name="20% - 강조색6 2" xfId="3" xr:uid="{00000000-0005-0000-0000-000000000000}"/>
    <cellStyle name="40% - 강조색1 2" xfId="4" xr:uid="{00000000-0005-0000-0000-000001000000}"/>
    <cellStyle name="40% - 강조색2 2" xfId="5" xr:uid="{00000000-0005-0000-0000-000002000000}"/>
    <cellStyle name="40% - 강조색3 2" xfId="6" xr:uid="{00000000-0005-0000-0000-000003000000}"/>
    <cellStyle name="40% - 강조색4 2" xfId="7" xr:uid="{00000000-0005-0000-0000-000004000000}"/>
    <cellStyle name="40% - 강조색5 2" xfId="8" xr:uid="{00000000-0005-0000-0000-000005000000}"/>
    <cellStyle name="40% - 강조색6 2" xfId="9" xr:uid="{00000000-0005-0000-0000-000006000000}"/>
    <cellStyle name="60% - 강조색1 2" xfId="10" xr:uid="{00000000-0005-0000-0000-000007000000}"/>
    <cellStyle name="60% - 강조색2 2" xfId="11" xr:uid="{00000000-0005-0000-0000-000008000000}"/>
    <cellStyle name="60% - 강조색3 2" xfId="12" xr:uid="{00000000-0005-0000-0000-000009000000}"/>
    <cellStyle name="60% - 강조색4 2" xfId="13" xr:uid="{00000000-0005-0000-0000-00000A000000}"/>
    <cellStyle name="60% - 강조색5 2" xfId="14" xr:uid="{00000000-0005-0000-0000-00000B000000}"/>
    <cellStyle name="60% - 강조색6 2" xfId="15" xr:uid="{00000000-0005-0000-0000-00000C000000}"/>
    <cellStyle name="강조색1 2" xfId="16" xr:uid="{00000000-0005-0000-0000-00000D000000}"/>
    <cellStyle name="강조색2 2" xfId="17" xr:uid="{00000000-0005-0000-0000-00000E000000}"/>
    <cellStyle name="강조색3 2" xfId="18" xr:uid="{00000000-0005-0000-0000-00000F000000}"/>
    <cellStyle name="강조색4 2" xfId="19" xr:uid="{00000000-0005-0000-0000-000010000000}"/>
    <cellStyle name="강조색5 2" xfId="20" xr:uid="{00000000-0005-0000-0000-000011000000}"/>
    <cellStyle name="강조색6 2" xfId="21" xr:uid="{00000000-0005-0000-0000-000012000000}"/>
    <cellStyle name="경고문 2" xfId="22" xr:uid="{00000000-0005-0000-0000-000013000000}"/>
    <cellStyle name="계산 2" xfId="23" xr:uid="{00000000-0005-0000-0000-000014000000}"/>
    <cellStyle name="나쁨 2" xfId="24" xr:uid="{00000000-0005-0000-0000-000015000000}"/>
    <cellStyle name="메모 2" xfId="25" xr:uid="{00000000-0005-0000-0000-000016000000}"/>
    <cellStyle name="보통 2" xfId="26" xr:uid="{00000000-0005-0000-0000-000017000000}"/>
    <cellStyle name="설명 텍스트 2" xfId="27" xr:uid="{00000000-0005-0000-0000-000018000000}"/>
    <cellStyle name="셀 확인 2" xfId="28" xr:uid="{00000000-0005-0000-0000-000019000000}"/>
    <cellStyle name="쉼표 [0]" xfId="1" builtinId="6"/>
    <cellStyle name="쉼표 [0] 2" xfId="29" xr:uid="{00000000-0005-0000-0000-00001B000000}"/>
    <cellStyle name="쉼표 [0] 3" xfId="30" xr:uid="{00000000-0005-0000-0000-00001C000000}"/>
    <cellStyle name="연결된 셀 2" xfId="31" xr:uid="{00000000-0005-0000-0000-00001D000000}"/>
    <cellStyle name="요약 2" xfId="32" xr:uid="{00000000-0005-0000-0000-00001E000000}"/>
    <cellStyle name="입력 2" xfId="33" xr:uid="{00000000-0005-0000-0000-00001F000000}"/>
    <cellStyle name="제목 1 2" xfId="34" xr:uid="{00000000-0005-0000-0000-000020000000}"/>
    <cellStyle name="제목 2 2" xfId="35" xr:uid="{00000000-0005-0000-0000-000021000000}"/>
    <cellStyle name="제목 3 2" xfId="36" xr:uid="{00000000-0005-0000-0000-000022000000}"/>
    <cellStyle name="제목 4 2" xfId="37" xr:uid="{00000000-0005-0000-0000-000023000000}"/>
    <cellStyle name="제목 5" xfId="38" xr:uid="{00000000-0005-0000-0000-000024000000}"/>
    <cellStyle name="좋음 2" xfId="39" xr:uid="{00000000-0005-0000-0000-000025000000}"/>
    <cellStyle name="출력 2" xfId="40" xr:uid="{00000000-0005-0000-0000-000026000000}"/>
    <cellStyle name="통화 [0]" xfId="43" builtinId="7"/>
    <cellStyle name="표준" xfId="0" builtinId="0"/>
    <cellStyle name="표준 2" xfId="2" xr:uid="{00000000-0005-0000-0000-000029000000}"/>
    <cellStyle name="표준 3" xfId="41" xr:uid="{00000000-0005-0000-0000-00002A000000}"/>
    <cellStyle name="표준 4" xfId="42" xr:uid="{00000000-0005-0000-0000-00002B000000}"/>
  </cellStyles>
  <dxfs count="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top style="thin">
          <color auto="1"/>
        </top>
        <vertical/>
        <horizontal/>
      </border>
    </dxf>
    <dxf>
      <font>
        <b/>
        <i val="0"/>
      </font>
      <fill>
        <patternFill>
          <bgColor rgb="FFFF0000"/>
        </patternFill>
      </fill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ck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/>
        <top style="thick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/>
        <top style="thick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ck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ck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1" readingOrder="0"/>
      <border diagonalUp="0" diagonalDown="0">
        <left style="thin">
          <color rgb="FFFF0000"/>
        </left>
        <right/>
        <top style="thin">
          <color theme="3" tint="0.39994506668294322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double">
          <color rgb="FFFF0000"/>
        </left>
        <right style="thin">
          <color rgb="FFFF0000"/>
        </right>
        <top style="thin">
          <color theme="3" tint="0.39994506668294322"/>
        </top>
        <bottom/>
        <vertical style="double">
          <color rgb="FFFF0000"/>
        </vertical>
        <horizontal/>
      </border>
    </dxf>
    <dxf>
      <border diagonalUp="0" diagonalDown="0">
        <left style="double">
          <color rgb="FFFF0000"/>
        </left>
        <right style="double">
          <color rgb="FFFF0000"/>
        </right>
        <vertical style="double">
          <color rgb="FFFF0000"/>
        </vertical>
      </border>
    </dxf>
    <dxf>
      <border diagonalUp="0" diagonalDown="0">
        <left style="double">
          <color rgb="FFFF0000"/>
        </left>
        <right style="double">
          <color rgb="FFFF0000"/>
        </right>
        <vertical style="double">
          <color rgb="FFFF0000"/>
        </vertical>
      </border>
    </dxf>
    <dxf>
      <border diagonalUp="0" diagonalDown="0">
        <left style="double">
          <color rgb="FFFF0000"/>
        </left>
        <right style="double">
          <color rgb="FFFF0000"/>
        </right>
        <vertical style="double">
          <color rgb="FFFF0000"/>
        </vertic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맑은 고딕"/>
        <family val="3"/>
        <charset val="129"/>
        <scheme val="minor"/>
      </font>
      <numFmt numFmtId="180" formatCode="m&quot;/&quot;d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rgb="FFFF0000"/>
        </right>
        <top style="thin">
          <color theme="3" tint="0.39994506668294322"/>
        </top>
        <bottom/>
        <vertical style="double">
          <color rgb="FFFF0000"/>
        </vertical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14999847407452621"/>
        <name val="맑은 고딕"/>
        <family val="3"/>
        <charset val="129"/>
        <scheme val="minor"/>
      </font>
      <numFmt numFmtId="178" formatCode="#,##0_ ;[Red]\-#,##0\ 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-0.24994659260841701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9" defaultPivotStyle="PivotStyleLight16"/>
  <colors>
    <mruColors>
      <color rgb="FFFFFF99"/>
      <color rgb="FF0000FF"/>
      <color rgb="FFDDDDDD"/>
      <color rgb="FFFFFFCC"/>
      <color rgb="FFFFFF66"/>
      <color rgb="FF99FFCC"/>
      <color rgb="FFFF3399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50799</xdr:rowOff>
    </xdr:from>
    <xdr:to>
      <xdr:col>21</xdr:col>
      <xdr:colOff>504825</xdr:colOff>
      <xdr:row>11</xdr:row>
      <xdr:rowOff>85724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98EA5FD2-C0A1-4D2D-B4C3-0A9194FF487C}"/>
            </a:ext>
          </a:extLst>
        </xdr:cNvPr>
        <xdr:cNvSpPr/>
      </xdr:nvSpPr>
      <xdr:spPr>
        <a:xfrm>
          <a:off x="7724775" y="1089024"/>
          <a:ext cx="6819900" cy="25495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수입 및 지출결의서를 따로 만들지 마세요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결의서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sheet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는 자동으로 만들어지며 그냥 출력만 하시면 됩니다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회계장부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Sheet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에서 먼저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수입이나 지출 내역을 입력하신 후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 b="1" u="sng">
              <a:solidFill>
                <a:srgbClr val="FF0000"/>
              </a:solidFill>
            </a:rPr>
            <a:t>결의서 </a:t>
          </a:r>
          <a:r>
            <a:rPr lang="en-US" altLang="ko-KR" sz="1400" b="1" u="sng">
              <a:solidFill>
                <a:srgbClr val="FF0000"/>
              </a:solidFill>
            </a:rPr>
            <a:t>sheet </a:t>
          </a:r>
          <a:r>
            <a:rPr lang="ko-KR" altLang="en-US" sz="1400" b="1" u="sng">
              <a:solidFill>
                <a:srgbClr val="FF0000"/>
              </a:solidFill>
            </a:rPr>
            <a:t>에서는 해당 일자만 변경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하시면 자동으로 결의서가 만들어집니다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날짜를 입력하실 때는  간단하게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월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/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일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"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형태로 입력하세요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 ..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</a:t>
          </a:r>
        </a:p>
        <a:p>
          <a:pPr algn="l"/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예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)  5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월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12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일인 경우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5/12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날짜 변경하시고 출력 하시면 끝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~~~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14</xdr:row>
      <xdr:rowOff>152400</xdr:rowOff>
    </xdr:from>
    <xdr:to>
      <xdr:col>8</xdr:col>
      <xdr:colOff>238125</xdr:colOff>
      <xdr:row>19</xdr:row>
      <xdr:rowOff>200025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A61FAE2F-8485-4AAB-B380-2B5B9A8D0BFB}"/>
            </a:ext>
          </a:extLst>
        </xdr:cNvPr>
        <xdr:cNvSpPr/>
      </xdr:nvSpPr>
      <xdr:spPr>
        <a:xfrm>
          <a:off x="47625" y="4552950"/>
          <a:ext cx="6924675" cy="16192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수기로 회계장부 작성하실 때 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매월 기장이 끝나면  월합계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,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연간합계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(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누계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)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를 추가로 기장하셔야 합니다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  </a:t>
          </a:r>
        </a:p>
        <a:p>
          <a:pPr algn="l"/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  이때  월합계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,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연간합계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,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잔액을 계산하셔야 하는데 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  이 시트로 확인하시고 그대로 기장하시면 편리합니다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.  (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계산기가 필요 없어요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^^)</a:t>
          </a:r>
          <a:endParaRPr lang="ko-KR" altLang="en-US" sz="14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47625</xdr:colOff>
      <xdr:row>5</xdr:row>
      <xdr:rowOff>0</xdr:rowOff>
    </xdr:from>
    <xdr:to>
      <xdr:col>18</xdr:col>
      <xdr:colOff>635000</xdr:colOff>
      <xdr:row>9</xdr:row>
      <xdr:rowOff>228600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A45042D5-4530-4F73-85B6-3974A863FA7C}"/>
            </a:ext>
          </a:extLst>
        </xdr:cNvPr>
        <xdr:cNvSpPr/>
      </xdr:nvSpPr>
      <xdr:spPr>
        <a:xfrm>
          <a:off x="8696325" y="1400175"/>
          <a:ext cx="6921500" cy="14859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4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   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회계 보고서는 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&lt;</a:t>
          </a:r>
          <a:r>
            <a:rPr lang="ko-KR" altLang="en-US" sz="1400">
              <a:solidFill>
                <a:schemeClr val="accent6">
                  <a:lumMod val="50000"/>
                </a:schemeClr>
              </a:solidFill>
            </a:rPr>
            <a:t>회계코드</a:t>
          </a:r>
          <a:r>
            <a:rPr lang="en-US" altLang="ko-KR" sz="1400">
              <a:solidFill>
                <a:schemeClr val="accent6">
                  <a:lumMod val="50000"/>
                </a:schemeClr>
              </a:solidFill>
            </a:rPr>
            <a:t>&gt;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sheet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를 먼저 정리하신 후 </a:t>
          </a:r>
          <a:endParaRPr lang="en-US" altLang="ko-KR" sz="1400" baseline="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  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보고서 항목들을 정리해야 합니다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시작일자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와 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종료일자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"</a:t>
          </a:r>
          <a:r>
            <a:rPr lang="ko-KR" altLang="en-US" sz="1400" baseline="0">
              <a:solidFill>
                <a:schemeClr val="accent6">
                  <a:lumMod val="50000"/>
                </a:schemeClr>
              </a:solidFill>
            </a:rPr>
            <a:t>만 넣으시면 됩니다</a:t>
          </a:r>
          <a:r>
            <a:rPr lang="en-US" altLang="ko-KR" sz="1400" baseline="0">
              <a:solidFill>
                <a:schemeClr val="accent6">
                  <a:lumMod val="50000"/>
                </a:schemeClr>
              </a:solidFill>
            </a:rPr>
            <a:t>.</a:t>
          </a:r>
          <a:endParaRPr lang="en-US" altLang="ko-KR" sz="1400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157369</xdr:colOff>
      <xdr:row>18</xdr:row>
      <xdr:rowOff>124240</xdr:rowOff>
    </xdr:from>
    <xdr:to>
      <xdr:col>6</xdr:col>
      <xdr:colOff>369956</xdr:colOff>
      <xdr:row>23</xdr:row>
      <xdr:rowOff>182219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E719856E-424C-4BCB-997E-D4272357943F}"/>
            </a:ext>
          </a:extLst>
        </xdr:cNvPr>
        <xdr:cNvSpPr/>
      </xdr:nvSpPr>
      <xdr:spPr>
        <a:xfrm>
          <a:off x="157369" y="4853610"/>
          <a:ext cx="6921500" cy="130037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altLang="ko-KR" sz="11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회계코드를 가장 먼저 손을 봐야 합니다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.</a:t>
          </a: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수입항목은 부서별 큰 차이가 없습니다만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,</a:t>
          </a: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지출항목은 부서별로 차이가 있어서 손을 대야 합니다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.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 </a:t>
          </a:r>
          <a:endParaRPr lang="en-US" altLang="ko-KR" sz="1100">
            <a:solidFill>
              <a:schemeClr val="accent6">
                <a:lumMod val="50000"/>
              </a:schemeClr>
            </a:solidFill>
          </a:endParaRPr>
        </a:p>
        <a:p>
          <a:pPr algn="l"/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  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각 세부항목은 이름이 중복되면 안됩니다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. (</a:t>
          </a:r>
          <a:r>
            <a:rPr lang="ko-KR" altLang="en-US" sz="1100">
              <a:solidFill>
                <a:schemeClr val="accent6">
                  <a:lumMod val="50000"/>
                </a:schemeClr>
              </a:solidFill>
            </a:rPr>
            <a:t>중복은 빨간색으로 표시됨</a:t>
          </a:r>
          <a:r>
            <a:rPr lang="en-US" altLang="ko-KR" sz="1100">
              <a:solidFill>
                <a:schemeClr val="accent6">
                  <a:lumMod val="50000"/>
                </a:schemeClr>
              </a:solidFill>
            </a:rPr>
            <a:t>)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5A4450-E08C-4C51-9C8B-0B042A11AB89}" name="표1" displayName="표1" ref="A1:L3" totalsRowShown="0" headerRowDxfId="23" tableBorderDxfId="22" headerRowCellStyle="쉼표 [0]">
  <autoFilter ref="A1:L3" xr:uid="{FE2D2F9F-CB7C-4AE8-96B4-61DB6A1826F0}"/>
  <tableColumns count="12">
    <tableColumn id="1" xr3:uid="{6306E022-2FCE-4C94-8816-3BC0F3B420FD}" name="일  자" dataDxfId="21"/>
    <tableColumn id="2" xr3:uid="{E411C71E-D78A-46D9-B7B5-1523CEE9DE5F}" name="적   요" dataDxfId="20"/>
    <tableColumn id="3" xr3:uid="{9534B63C-E276-4B13-8B02-6754345C626A}" name="수입금액" dataDxfId="19"/>
    <tableColumn id="4" xr3:uid="{1B150AC1-E9A7-4892-88AE-1D52B121B660}" name="지출금액" dataDxfId="18"/>
    <tableColumn id="5" xr3:uid="{0A6572F7-1DDA-4B49-A8D4-9EF59EE24D91}" name="잔  액" dataDxfId="17" dataCellStyle="쉼표 [0]">
      <calculatedColumnFormula>E1+C2-D2</calculatedColumnFormula>
    </tableColumn>
    <tableColumn id="6" xr3:uid="{F7A38C90-CCF9-4BE5-842F-4D440DB6E173}" name="비   고" dataDxfId="16" dataCellStyle="쉼표 [0]"/>
    <tableColumn id="7" xr3:uid="{CF925115-86EF-4A23-9821-30C182404DE1}" name="수입/지출" dataDxfId="15" dataCellStyle="쉼표 [0]">
      <calculatedColumnFormula>IF(ISBLANK(C2),"지출항목","수입항목")</calculatedColumnFormula>
    </tableColumn>
    <tableColumn id="8" xr3:uid="{086F8C48-05AC-4D2F-965B-36CFE0768B17}" name="회계코드위치" dataDxfId="14" dataCellStyle="쉼표 [0]">
      <calculatedColumnFormula>IF(회계장부!$G2="수입항목",0,9)</calculatedColumnFormula>
    </tableColumn>
    <tableColumn id="9" xr3:uid="{84EF875E-36B0-4DFD-AD5C-C66FABB507BA}" name="관" dataDxfId="13" dataCellStyle="쉼표 [0]"/>
    <tableColumn id="10" xr3:uid="{15B8922F-E2F6-4ADA-9C77-D07324D1C438}" name="항목" dataDxfId="12" dataCellStyle="쉼표 [0]"/>
    <tableColumn id="11" xr3:uid="{8102CEB8-0EA0-46FD-95B4-C1285ECEE015}" name="수입누적구분" dataDxfId="11" dataCellStyle="쉼표 [0]">
      <calculatedColumnFormula>IF(G2="수입항목",IF(I2="헌금","자체헌금",IF(I2="교회보조금","교회보조금","기타")),"")</calculatedColumnFormula>
    </tableColumn>
    <tableColumn id="12" xr3:uid="{C6B7AA54-95C2-443A-8149-204D3577190F}" name="월" dataDxfId="10" dataCellStyle="쉼표 [0]">
      <calculatedColumnFormula>MONTH(A2)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L3"/>
  <sheetViews>
    <sheetView tabSelected="1" zoomScale="85" zoomScaleNormal="85" workbookViewId="0">
      <pane ySplit="1" topLeftCell="A2" activePane="bottomLeft" state="frozen"/>
      <selection pane="bottomLeft" activeCell="F6" sqref="F6"/>
    </sheetView>
  </sheetViews>
  <sheetFormatPr defaultRowHeight="24" customHeight="1" x14ac:dyDescent="0.3"/>
  <cols>
    <col min="1" max="1" width="9.25" style="89" customWidth="1"/>
    <col min="2" max="2" width="36.25" style="170" customWidth="1"/>
    <col min="3" max="4" width="17.375" style="90" customWidth="1"/>
    <col min="5" max="5" width="19.125" style="93" customWidth="1"/>
    <col min="6" max="6" width="30" style="91" customWidth="1"/>
    <col min="7" max="7" width="13.375" style="94" bestFit="1" customWidth="1"/>
    <col min="8" max="8" width="14.5" style="94" hidden="1" customWidth="1"/>
    <col min="9" max="9" width="21.25" style="92" bestFit="1" customWidth="1"/>
    <col min="10" max="10" width="27.875" style="92" customWidth="1"/>
    <col min="11" max="11" width="12.5" style="95" customWidth="1"/>
    <col min="12" max="12" width="8.375" style="95" bestFit="1" customWidth="1"/>
    <col min="13" max="16384" width="9" style="88"/>
  </cols>
  <sheetData>
    <row r="1" spans="1:12" s="87" customFormat="1" ht="24" customHeight="1" thickBot="1" x14ac:dyDescent="0.35">
      <c r="A1" s="160" t="s">
        <v>1</v>
      </c>
      <c r="B1" s="161" t="s">
        <v>2</v>
      </c>
      <c r="C1" s="162" t="s">
        <v>3</v>
      </c>
      <c r="D1" s="162" t="s">
        <v>4</v>
      </c>
      <c r="E1" s="163" t="s">
        <v>40</v>
      </c>
      <c r="F1" s="103" t="s">
        <v>5</v>
      </c>
      <c r="G1" s="104" t="s">
        <v>10</v>
      </c>
      <c r="H1" s="105" t="s">
        <v>157</v>
      </c>
      <c r="I1" s="106" t="s">
        <v>8</v>
      </c>
      <c r="J1" s="106" t="s">
        <v>7</v>
      </c>
      <c r="K1" s="105" t="s">
        <v>11</v>
      </c>
      <c r="L1" s="105" t="s">
        <v>12</v>
      </c>
    </row>
    <row r="2" spans="1:12" ht="24" customHeight="1" thickTop="1" thickBot="1" x14ac:dyDescent="0.35">
      <c r="A2" s="164">
        <v>43831</v>
      </c>
      <c r="B2" s="165" t="s">
        <v>13</v>
      </c>
      <c r="C2" s="166">
        <v>1500000</v>
      </c>
      <c r="D2" s="166"/>
      <c r="E2" s="167">
        <f>C2-D2</f>
        <v>1500000</v>
      </c>
      <c r="F2" s="98"/>
      <c r="G2" s="107" t="str">
        <f>IF(ISBLANK(C2),"지출항목","수입항목")</f>
        <v>수입항목</v>
      </c>
      <c r="H2" s="108">
        <f>IF(회계장부!$G2="수입항목",0,9)</f>
        <v>0</v>
      </c>
      <c r="I2" s="109" t="s">
        <v>162</v>
      </c>
      <c r="J2" s="110" t="s">
        <v>162</v>
      </c>
      <c r="K2" s="110" t="str">
        <f>IF(G2="수입항목",IF(I2="헌금","자체헌금",IF(I2="교회보조금","교회보조금","기타")),"")</f>
        <v>기타</v>
      </c>
      <c r="L2" s="108">
        <f t="shared" ref="L2:L3" si="0">MONTH(A2)</f>
        <v>1</v>
      </c>
    </row>
    <row r="3" spans="1:12" ht="24" customHeight="1" thickTop="1" x14ac:dyDescent="0.3">
      <c r="A3" s="164">
        <v>43833</v>
      </c>
      <c r="B3" s="168" t="s">
        <v>158</v>
      </c>
      <c r="C3" s="169"/>
      <c r="D3" s="169">
        <v>100000</v>
      </c>
      <c r="E3" s="167">
        <f>E2+C3-D3</f>
        <v>1400000</v>
      </c>
      <c r="F3" s="98"/>
      <c r="G3" s="111" t="str">
        <f t="shared" ref="G3" si="1">IF(ISBLANK(C3),"지출항목","수입항목")</f>
        <v>지출항목</v>
      </c>
      <c r="H3" s="108">
        <f>IF(회계장부!$G3="수입항목",0,9)</f>
        <v>9</v>
      </c>
      <c r="I3" s="109" t="s">
        <v>159</v>
      </c>
      <c r="J3" s="109" t="s">
        <v>163</v>
      </c>
      <c r="K3" s="109" t="str">
        <f t="shared" ref="K3" si="2">IF(G3="수입항목",IF(I3="헌금","자체헌금",IF(I3="교회보조금","교회보조금","기타")),"")</f>
        <v/>
      </c>
      <c r="L3" s="112">
        <f t="shared" si="0"/>
        <v>1</v>
      </c>
    </row>
  </sheetData>
  <phoneticPr fontId="2" type="noConversion"/>
  <conditionalFormatting sqref="A2:L2 K3 A4:L1048576">
    <cfRule type="expression" dxfId="33" priority="46790">
      <formula>MOD(ROW($A2),2)=0</formula>
    </cfRule>
  </conditionalFormatting>
  <conditionalFormatting sqref="G3">
    <cfRule type="expression" dxfId="32" priority="193">
      <formula>MOD(ROW($A3),2)=0</formula>
    </cfRule>
  </conditionalFormatting>
  <conditionalFormatting sqref="L3 I3:J3">
    <cfRule type="expression" dxfId="31" priority="190">
      <formula>MOD(ROW($A3),2)=0</formula>
    </cfRule>
  </conditionalFormatting>
  <conditionalFormatting sqref="I2:J1048576">
    <cfRule type="expression" dxfId="30" priority="40">
      <formula>AND(LEN($A2)&gt;0,LEN($B2)&gt;0,I2=0,OR($C2&gt;0,$D2&gt;0))</formula>
    </cfRule>
  </conditionalFormatting>
  <conditionalFormatting sqref="F3">
    <cfRule type="expression" dxfId="29" priority="25">
      <formula>MOD(ROW($A3),2)=0</formula>
    </cfRule>
  </conditionalFormatting>
  <conditionalFormatting sqref="E3">
    <cfRule type="expression" dxfId="28" priority="24">
      <formula>MOD(ROW($A3),2)=0</formula>
    </cfRule>
  </conditionalFormatting>
  <conditionalFormatting sqref="A3">
    <cfRule type="expression" dxfId="27" priority="10">
      <formula>MOD(ROW($A3),2)=0</formula>
    </cfRule>
  </conditionalFormatting>
  <conditionalFormatting sqref="B3:D3">
    <cfRule type="expression" dxfId="26" priority="9">
      <formula>MOD(ROW($A3),2)=0</formula>
    </cfRule>
  </conditionalFormatting>
  <conditionalFormatting sqref="H3">
    <cfRule type="expression" dxfId="25" priority="2">
      <formula>MOD(ROW($A3),2)=0</formula>
    </cfRule>
  </conditionalFormatting>
  <conditionalFormatting sqref="I2">
    <cfRule type="expression" dxfId="24" priority="1">
      <formula>MOD(ROW($A2),2)=0</formula>
    </cfRule>
  </conditionalFormatting>
  <dataValidations count="1">
    <dataValidation type="list" allowBlank="1" showInputMessage="1" showErrorMessage="1" sqref="G2:G3" xr:uid="{8D293E6B-8657-4FE5-9897-2E713236E5C9}">
      <formula1>"수입항목,지출항목"</formula1>
    </dataValidation>
  </dataValidations>
  <pageMargins left="0.31496062992125984" right="0.19685039370078741" top="0.74803149606299213" bottom="0.74803149606299213" header="0.31496062992125984" footer="0.31496062992125984"/>
  <pageSetup paperSize="9" scale="10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404F419-F945-4AEA-8A34-D8FA33E45A8E}">
          <x14:formula1>
            <xm:f>OFFSET(회계코드!$A$3,$H2,,1,COUNTA(OFFSET(회계코드!$A$3,$H2,,1,12)))</xm:f>
          </x14:formula1>
          <xm:sqref>I2:I1048576</xm:sqref>
        </x14:dataValidation>
        <x14:dataValidation type="list" allowBlank="1" showInputMessage="1" showErrorMessage="1" xr:uid="{107B4DE3-8538-40C4-A800-F16C7E688698}">
          <x14:formula1>
            <xm:f>OFFSET(회계코드!$A$3,$H2+1,MATCH($I2,OFFSET(회계코드!$A$3,$H2,,1,COUNTA(OFFSET(회계코드!$A$3,$H2,,1,12))),0)-1,6,1)</xm:f>
          </x14:formula1>
          <xm:sqref>J2:J1048576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O32"/>
  <sheetViews>
    <sheetView zoomScaleNormal="100" workbookViewId="0">
      <selection activeCell="F8" sqref="F8:G8"/>
    </sheetView>
  </sheetViews>
  <sheetFormatPr defaultRowHeight="24.95" customHeight="1" x14ac:dyDescent="0.3"/>
  <cols>
    <col min="1" max="1" width="7.75" style="1" customWidth="1"/>
    <col min="2" max="2" width="9.125" style="1" customWidth="1"/>
    <col min="3" max="3" width="18" style="2" customWidth="1"/>
    <col min="4" max="4" width="9.125" style="2" customWidth="1"/>
    <col min="5" max="5" width="4.75" style="2" customWidth="1"/>
    <col min="6" max="6" width="15.125" style="1" customWidth="1"/>
    <col min="7" max="7" width="8.75" style="1" customWidth="1"/>
    <col min="8" max="8" width="19.75" style="1" customWidth="1"/>
    <col min="9" max="9" width="9" style="1"/>
    <col min="10" max="10" width="0" style="1" hidden="1" customWidth="1"/>
    <col min="11" max="11" width="10.125" style="1" hidden="1" customWidth="1"/>
    <col min="12" max="12" width="10.25" style="1" hidden="1" customWidth="1"/>
    <col min="13" max="14" width="9" style="1"/>
    <col min="15" max="15" width="10.875" style="1" bestFit="1" customWidth="1"/>
    <col min="16" max="16384" width="9" style="1"/>
  </cols>
  <sheetData>
    <row r="1" spans="1:12" ht="41.25" customHeight="1" x14ac:dyDescent="0.3">
      <c r="A1" s="228" t="s">
        <v>0</v>
      </c>
      <c r="B1" s="229"/>
      <c r="C1" s="229"/>
      <c r="D1" s="229"/>
      <c r="E1" s="229"/>
      <c r="F1" s="229"/>
      <c r="G1" s="229"/>
      <c r="H1" s="229"/>
    </row>
    <row r="2" spans="1:12" ht="15.75" customHeight="1" thickBot="1" x14ac:dyDescent="0.35">
      <c r="A2" s="174" t="str">
        <f>IF(K15&gt;17,"동일자에 지출항목이 17개를 초과할 수 없습니다",IF(L15&gt;11,"동일자에 입금항목이 11개를 초과할 수 없습니다.",""))</f>
        <v/>
      </c>
      <c r="B2" s="174"/>
      <c r="C2" s="174"/>
      <c r="D2" s="174"/>
      <c r="E2" s="174"/>
      <c r="F2" s="174"/>
      <c r="G2" s="174"/>
      <c r="H2" s="174"/>
    </row>
    <row r="3" spans="1:12" ht="24.95" customHeight="1" x14ac:dyDescent="0.3">
      <c r="A3" s="75" t="s">
        <v>16</v>
      </c>
      <c r="B3" s="186">
        <v>43833</v>
      </c>
      <c r="C3" s="186"/>
      <c r="D3" s="186"/>
      <c r="E3" s="186"/>
      <c r="F3" s="188" t="s">
        <v>17</v>
      </c>
      <c r="G3" s="188"/>
      <c r="H3" s="3"/>
    </row>
    <row r="4" spans="1:12" ht="24.95" customHeight="1" thickBot="1" x14ac:dyDescent="0.35">
      <c r="A4" s="4" t="s">
        <v>18</v>
      </c>
      <c r="B4" s="82"/>
      <c r="C4" s="83"/>
      <c r="D4" s="83" t="s">
        <v>19</v>
      </c>
      <c r="E4" s="187"/>
      <c r="F4" s="187"/>
      <c r="G4" s="82" t="s">
        <v>20</v>
      </c>
      <c r="H4" s="84"/>
    </row>
    <row r="5" spans="1:12" ht="24.95" customHeight="1" thickBot="1" x14ac:dyDescent="0.35">
      <c r="A5" s="81" t="s">
        <v>21</v>
      </c>
      <c r="B5" s="86" t="s">
        <v>22</v>
      </c>
      <c r="C5" s="189" t="str">
        <f ca="1">NUMBERSTRING(H14,1) &amp; " 원정"</f>
        <v>일십만 원정</v>
      </c>
      <c r="D5" s="189"/>
      <c r="E5" s="189"/>
      <c r="F5" s="189"/>
      <c r="G5" s="190">
        <f ca="1">H14</f>
        <v>100000</v>
      </c>
      <c r="H5" s="191"/>
    </row>
    <row r="6" spans="1:12" ht="24.95" customHeight="1" x14ac:dyDescent="0.3">
      <c r="A6" s="175" t="s">
        <v>23</v>
      </c>
      <c r="B6" s="182" t="str">
        <f>IF(K16&lt;&gt;"",INDEX(회계장부!$B:$B,K16,1),"")</f>
        <v>주일간식(새우깡)</v>
      </c>
      <c r="C6" s="183"/>
      <c r="D6" s="177">
        <f>IF(K16&lt;&gt;"",INDEX(회계장부!$D:$D,K16,1),"")</f>
        <v>100000</v>
      </c>
      <c r="E6" s="178"/>
      <c r="F6" s="183" t="str">
        <f ca="1">IF(K25&lt;&gt;"",INDEX(회계장부!$B:$B,K25,1),"")</f>
        <v/>
      </c>
      <c r="G6" s="183"/>
      <c r="H6" s="85" t="str">
        <f ca="1">IF(K25&lt;&gt;"",INDEX(회계장부!$D:$D,K25,1),"")</f>
        <v/>
      </c>
    </row>
    <row r="7" spans="1:12" ht="24.95" customHeight="1" x14ac:dyDescent="0.3">
      <c r="A7" s="176"/>
      <c r="B7" s="184" t="str">
        <f ca="1">IF(K17&lt;&gt;"",INDEX(회계장부!$B:$B,K17,1),"")</f>
        <v/>
      </c>
      <c r="C7" s="185"/>
      <c r="D7" s="179" t="str">
        <f ca="1">IF(K17&lt;&gt;"",INDEX(회계장부!$D:$D,K17,1),"")</f>
        <v/>
      </c>
      <c r="E7" s="179"/>
      <c r="F7" s="195" t="str">
        <f ca="1">IF(K26&lt;&gt;"",INDEX(회계장부!$B:$B,K26,1),"")</f>
        <v/>
      </c>
      <c r="G7" s="195"/>
      <c r="H7" s="7" t="str">
        <f ca="1">IF(K26&lt;&gt;"",INDEX(회계장부!$D:$D,K26,1),"")</f>
        <v/>
      </c>
    </row>
    <row r="8" spans="1:12" ht="24.95" customHeight="1" x14ac:dyDescent="0.3">
      <c r="A8" s="176"/>
      <c r="B8" s="184" t="str">
        <f ca="1">IF(K18&lt;&gt;"",INDEX(회계장부!$B:$B,K18,1),"")</f>
        <v/>
      </c>
      <c r="C8" s="185"/>
      <c r="D8" s="179" t="str">
        <f ca="1">IF(K18&lt;&gt;"",INDEX(회계장부!$D:$D,K18,1),"")</f>
        <v/>
      </c>
      <c r="E8" s="179"/>
      <c r="F8" s="195" t="str">
        <f ca="1">IF(K27&lt;&gt;"",INDEX(회계장부!$B:$B,K27,1),"")</f>
        <v/>
      </c>
      <c r="G8" s="195"/>
      <c r="H8" s="7" t="str">
        <f ca="1">IF(K27&lt;&gt;"",INDEX(회계장부!$D:$D,K27,1),"")</f>
        <v/>
      </c>
    </row>
    <row r="9" spans="1:12" ht="24.95" customHeight="1" x14ac:dyDescent="0.3">
      <c r="A9" s="176"/>
      <c r="B9" s="184" t="str">
        <f ca="1">IF(K19&lt;&gt;"",INDEX(회계장부!$B:$B,K19,1),"")</f>
        <v/>
      </c>
      <c r="C9" s="185"/>
      <c r="D9" s="179" t="str">
        <f ca="1">IF(K19&lt;&gt;"",INDEX(회계장부!$D:$D,K19,1),"")</f>
        <v/>
      </c>
      <c r="E9" s="179"/>
      <c r="F9" s="195" t="str">
        <f ca="1">IF(K28&lt;&gt;"",INDEX(회계장부!$B:$B,K28,1),"")</f>
        <v/>
      </c>
      <c r="G9" s="195"/>
      <c r="H9" s="7" t="str">
        <f ca="1">IF(K28&lt;&gt;"",INDEX(회계장부!$D:$D,K28,1),"")</f>
        <v/>
      </c>
    </row>
    <row r="10" spans="1:12" ht="24.95" customHeight="1" x14ac:dyDescent="0.3">
      <c r="A10" s="176"/>
      <c r="B10" s="184" t="str">
        <f ca="1">IF(K20&lt;&gt;"",INDEX(회계장부!$B:$B,K20,1),"")</f>
        <v/>
      </c>
      <c r="C10" s="185"/>
      <c r="D10" s="179" t="str">
        <f ca="1">IF(K20&lt;&gt;"",INDEX(회계장부!$D:$D,K20,1),"")</f>
        <v/>
      </c>
      <c r="E10" s="179"/>
      <c r="F10" s="195" t="str">
        <f ca="1">IF(K29&lt;&gt;"",INDEX(회계장부!$B:$B,K29,1),"")</f>
        <v/>
      </c>
      <c r="G10" s="195"/>
      <c r="H10" s="7" t="str">
        <f ca="1">IF(K29&lt;&gt;"",INDEX(회계장부!$D:$D,K29,1),"")</f>
        <v/>
      </c>
    </row>
    <row r="11" spans="1:12" ht="24.95" customHeight="1" x14ac:dyDescent="0.3">
      <c r="A11" s="176"/>
      <c r="B11" s="184" t="str">
        <f ca="1">IF(K21&lt;&gt;"",INDEX(회계장부!$B:$B,K21,1),"")</f>
        <v/>
      </c>
      <c r="C11" s="185"/>
      <c r="D11" s="179" t="str">
        <f ca="1">IF(K21&lt;&gt;"",INDEX(회계장부!$D:$D,K21,1),"")</f>
        <v/>
      </c>
      <c r="E11" s="179"/>
      <c r="F11" s="195" t="str">
        <f ca="1">IF(K30&lt;&gt;"",INDEX(회계장부!$B:$B,K30,1),"")</f>
        <v/>
      </c>
      <c r="G11" s="195"/>
      <c r="H11" s="7" t="str">
        <f ca="1">IF(K30&lt;&gt;"",INDEX(회계장부!$D:$D,K30,1),"")</f>
        <v/>
      </c>
    </row>
    <row r="12" spans="1:12" ht="24.95" customHeight="1" x14ac:dyDescent="0.3">
      <c r="A12" s="176"/>
      <c r="B12" s="184" t="str">
        <f ca="1">IF(K22&lt;&gt;"",INDEX(회계장부!$B:$B,K22,1),"")</f>
        <v/>
      </c>
      <c r="C12" s="185"/>
      <c r="D12" s="179" t="str">
        <f ca="1">IF(K22&lt;&gt;"",INDEX(회계장부!$D:$D,K22,1),"")</f>
        <v/>
      </c>
      <c r="E12" s="179"/>
      <c r="F12" s="195" t="str">
        <f ca="1">IF(K31&lt;&gt;"",INDEX(회계장부!$B:$B,K31,1),"")</f>
        <v/>
      </c>
      <c r="G12" s="195"/>
      <c r="H12" s="7" t="str">
        <f ca="1">IF(K31&lt;&gt;"",INDEX(회계장부!$D:$D,K31,1),"")</f>
        <v/>
      </c>
      <c r="L12" s="2"/>
    </row>
    <row r="13" spans="1:12" ht="24.95" customHeight="1" thickBot="1" x14ac:dyDescent="0.35">
      <c r="A13" s="176"/>
      <c r="B13" s="184" t="str">
        <f ca="1">IF(K23&lt;&gt;"",INDEX(회계장부!$B:$B,K23,1),"")</f>
        <v/>
      </c>
      <c r="C13" s="185"/>
      <c r="D13" s="179" t="str">
        <f ca="1">IF(K23&lt;&gt;"",INDEX(회계장부!$D:$D,K23,1),"")</f>
        <v/>
      </c>
      <c r="E13" s="179"/>
      <c r="F13" s="196" t="str">
        <f ca="1">IF(K32&lt;&gt;"",INDEX(회계장부!$B:$B,K32,1),"")</f>
        <v/>
      </c>
      <c r="G13" s="196"/>
      <c r="H13" s="79" t="str">
        <f ca="1">IF(K32&lt;&gt;"",INDEX(회계장부!$D:$D,K32,1),"")</f>
        <v/>
      </c>
      <c r="J13" s="76">
        <f>COUNTA(회계장부!$A:$A)</f>
        <v>3</v>
      </c>
      <c r="K13" s="76"/>
      <c r="L13" s="77"/>
    </row>
    <row r="14" spans="1:12" ht="24.95" customHeight="1" thickBot="1" x14ac:dyDescent="0.35">
      <c r="A14" s="176"/>
      <c r="B14" s="226" t="str">
        <f ca="1">IF(K24&lt;&gt;"",INDEX(회계장부!$B:$B,K24,1),"")</f>
        <v/>
      </c>
      <c r="C14" s="227"/>
      <c r="D14" s="180" t="str">
        <f ca="1">IF(K24&lt;&gt;"",INDEX(회계장부!$D:$D,K24,1),"")</f>
        <v/>
      </c>
      <c r="E14" s="181"/>
      <c r="F14" s="197" t="s">
        <v>155</v>
      </c>
      <c r="G14" s="198"/>
      <c r="H14" s="80">
        <f ca="1">IF(A2="",SUM(D6:E14,H6:H13),"에러입니다")</f>
        <v>100000</v>
      </c>
      <c r="J14" s="76"/>
      <c r="K14" s="76" t="s">
        <v>53</v>
      </c>
      <c r="L14" s="77" t="s">
        <v>153</v>
      </c>
    </row>
    <row r="15" spans="1:12" ht="24.95" customHeight="1" x14ac:dyDescent="0.3">
      <c r="A15" s="176" t="s">
        <v>25</v>
      </c>
      <c r="B15" s="200" t="s">
        <v>26</v>
      </c>
      <c r="C15" s="200"/>
      <c r="D15" s="207" t="s">
        <v>45</v>
      </c>
      <c r="E15" s="207"/>
      <c r="F15" s="208"/>
      <c r="G15" s="192" t="s">
        <v>27</v>
      </c>
      <c r="H15" s="193"/>
      <c r="J15" s="76" t="s">
        <v>154</v>
      </c>
      <c r="K15" s="76">
        <f>COUNTIFS(회계장부!$A:$A,기준일자,회계장부!$G:$G,K$14)</f>
        <v>1</v>
      </c>
      <c r="L15" s="76">
        <f>COUNTIFS(회계장부!$A:$A,기준일자,회계장부!$G:$G,L$14)</f>
        <v>0</v>
      </c>
    </row>
    <row r="16" spans="1:12" ht="24.95" customHeight="1" x14ac:dyDescent="0.3">
      <c r="A16" s="176"/>
      <c r="B16" s="5" t="s">
        <v>28</v>
      </c>
      <c r="C16" s="8">
        <f>SUMIFS(회계장부!C:C,회계장부!K:K,"자체헌금",회계장부!A:A,기준일자)</f>
        <v>0</v>
      </c>
      <c r="D16" s="5" t="s">
        <v>28</v>
      </c>
      <c r="E16" s="194">
        <f>SUMIFS(회계장부!C:C,회계장부!K:K,"교회보조금",회계장부!A:A,기준일자)</f>
        <v>0</v>
      </c>
      <c r="F16" s="194"/>
      <c r="G16" s="5" t="s">
        <v>28</v>
      </c>
      <c r="H16" s="9">
        <f>SUMIFS(회계장부!C:C,회계장부!K:K,"기타",회계장부!A:A,기준일자)</f>
        <v>0</v>
      </c>
      <c r="J16" s="76">
        <v>1</v>
      </c>
      <c r="K16" s="76">
        <f t="array" ref="K16">IF($J16&lt;=K$15,MATCH(1,(회계장부!$A:$A=기준일자)*(회계장부!$G:$G=K$14),0),"")</f>
        <v>3</v>
      </c>
      <c r="L16" s="76" t="str">
        <f t="array" ref="L16">IF($J16&lt;=L$15,MATCH(1,(회계장부!$A:$A=기준일자)*(회계장부!$G:$G=L$14),0),"")</f>
        <v/>
      </c>
    </row>
    <row r="17" spans="1:15" ht="24.95" customHeight="1" x14ac:dyDescent="0.3">
      <c r="A17" s="176"/>
      <c r="B17" s="5" t="s">
        <v>29</v>
      </c>
      <c r="C17" s="8">
        <f>SUMIFS(회계장부!C:C,회계장부!K:K,"자체헌금",회계장부!A:A,"&lt;="&amp;기준일자)</f>
        <v>0</v>
      </c>
      <c r="D17" s="5" t="s">
        <v>29</v>
      </c>
      <c r="E17" s="194">
        <f>SUMIFS(회계장부!C:C,회계장부!K:K,"교회보조금",회계장부!A:A,"&lt;="&amp;기준일자)</f>
        <v>0</v>
      </c>
      <c r="F17" s="194"/>
      <c r="G17" s="5" t="s">
        <v>29</v>
      </c>
      <c r="H17" s="9">
        <f>SUMIFS(회계장부!C:C,회계장부!K:K,"기타",회계장부!A:A,"&lt;="&amp;기준일자)</f>
        <v>1500000</v>
      </c>
      <c r="J17" s="76">
        <v>2</v>
      </c>
      <c r="K17" s="76" t="str">
        <f t="array" aca="1" ref="K17" ca="1">IF($J17&lt;=K$15,MATCH(1,(OFFSET(회계장부!$A$1,K16,,$J$13-K16+1,)=기준일자)*(OFFSET(회계장부!$G$1,K16,,$J$13-K16+1,)=K$14),0)+K16,"")</f>
        <v/>
      </c>
      <c r="L17" s="76" t="str">
        <f t="array" aca="1" ref="L17" ca="1">IF($J17&lt;=L$15,MATCH(1,(OFFSET(회계장부!$A$1,L16,,$J$13-L16+1,)=기준일자)*(OFFSET(회계장부!$G$1,L16,,$J$13-L16+1,)=L$14),0)+L16,"")</f>
        <v/>
      </c>
      <c r="O17" s="11"/>
    </row>
    <row r="18" spans="1:15" ht="24.95" customHeight="1" x14ac:dyDescent="0.3">
      <c r="A18" s="176" t="s">
        <v>30</v>
      </c>
      <c r="B18" s="5" t="s">
        <v>28</v>
      </c>
      <c r="C18" s="8">
        <f>SUMIFS(회계장부!D:D,회계장부!G:G,"지출항목",회계장부!A:A,기준일자)</f>
        <v>100000</v>
      </c>
      <c r="D18" s="10" t="s">
        <v>31</v>
      </c>
      <c r="E18" s="209">
        <f>C17+E17+H17</f>
        <v>1500000</v>
      </c>
      <c r="F18" s="210"/>
      <c r="G18" s="200" t="s">
        <v>32</v>
      </c>
      <c r="H18" s="204"/>
      <c r="J18" s="76">
        <v>3</v>
      </c>
      <c r="K18" s="76" t="str">
        <f t="array" aca="1" ref="K18" ca="1">IF($J18&lt;=K$15,MATCH(1,(OFFSET(회계장부!$A$1,K17,,$J$13-K17+1,)=기준일자)*(OFFSET(회계장부!$G$1,K17,,$J$13-K17+1,)=K$14),0)+K17,"")</f>
        <v/>
      </c>
      <c r="L18" s="76" t="str">
        <f t="array" aca="1" ref="L18" ca="1">IF($J18&lt;=L$15,MATCH(1,(OFFSET(회계장부!$A$1,L17,,$J$13-L17+1,)=기준일자)*(OFFSET(회계장부!$G$1,L17,,$J$13-L17+1,)=L$14),0)+L17,"")</f>
        <v/>
      </c>
    </row>
    <row r="19" spans="1:15" ht="24.95" customHeight="1" x14ac:dyDescent="0.3">
      <c r="A19" s="176"/>
      <c r="B19" s="5" t="s">
        <v>29</v>
      </c>
      <c r="C19" s="8">
        <f>SUMIFS(회계장부!D:D,회계장부!G:G,"지출항목",회계장부!A:A,"&lt;="&amp;기준일자)</f>
        <v>100000</v>
      </c>
      <c r="D19" s="10" t="s">
        <v>33</v>
      </c>
      <c r="E19" s="209">
        <f>C17+E17+H17-C19</f>
        <v>1400000</v>
      </c>
      <c r="F19" s="210"/>
      <c r="G19" s="205" t="s">
        <v>34</v>
      </c>
      <c r="H19" s="206"/>
      <c r="J19" s="76">
        <v>4</v>
      </c>
      <c r="K19" s="76" t="str">
        <f t="array" aca="1" ref="K19" ca="1">IF($J19&lt;=K$15,MATCH(1,(OFFSET(회계장부!$A$1,K18,,$J$13-K18+1,)=기준일자)*(OFFSET(회계장부!$G$1,K18,,$J$13-K18+1,)=K$14),0)+K18,"")</f>
        <v/>
      </c>
      <c r="L19" s="76" t="str">
        <f t="array" aca="1" ref="L19" ca="1">IF($J19&lt;=L$15,MATCH(1,(OFFSET(회계장부!$A$1,L18,,$J$13-L18+1,)=기준일자)*(OFFSET(회계장부!$G$1,L18,,$J$13-L18+1,)=L$14),0)+L18,"")</f>
        <v/>
      </c>
    </row>
    <row r="20" spans="1:15" ht="24.95" customHeight="1" x14ac:dyDescent="0.3">
      <c r="A20" s="175" t="s">
        <v>35</v>
      </c>
      <c r="B20" s="201" t="str">
        <f>IF(L16&lt;&gt;"",INDEX(회계장부!$B:$B,L16,1),"")</f>
        <v/>
      </c>
      <c r="C20" s="202"/>
      <c r="D20" s="214" t="str">
        <f>IF(L16&lt;&gt;"",INDEX(회계장부!$C:$C,L16,1),"")</f>
        <v/>
      </c>
      <c r="E20" s="215"/>
      <c r="F20" s="202" t="str">
        <f ca="1">IF(L22&lt;&gt;"",INDEX(회계장부!$B:$B,L22,1),"")</f>
        <v/>
      </c>
      <c r="G20" s="202"/>
      <c r="H20" s="6" t="str">
        <f ca="1">IF(L22&lt;&gt;"",INDEX(회계장부!$C:$C,L22,1),"")</f>
        <v/>
      </c>
      <c r="J20" s="76">
        <v>5</v>
      </c>
      <c r="K20" s="76" t="str">
        <f t="array" aca="1" ref="K20" ca="1">IF($J20&lt;=K$15,MATCH(1,(OFFSET(회계장부!$A$1,K19,,$J$13-K19+1,)=기준일자)*(OFFSET(회계장부!$G$1,K19,,$J$13-K19+1,)=K$14),0)+K19,"")</f>
        <v/>
      </c>
      <c r="L20" s="76" t="str">
        <f t="array" aca="1" ref="L20" ca="1">IF($J20&lt;=L$15,MATCH(1,(OFFSET(회계장부!$A$1,L19,,$J$13-L19+1,)=기준일자)*(OFFSET(회계장부!$G$1,L19,,$J$13-L19+1,)=L$14),0)+L19,"")</f>
        <v/>
      </c>
    </row>
    <row r="21" spans="1:15" ht="24.95" customHeight="1" x14ac:dyDescent="0.3">
      <c r="A21" s="176"/>
      <c r="B21" s="203" t="str">
        <f ca="1">IF(L17&lt;&gt;"",INDEX(회계장부!$B:$B,L17,1),"")</f>
        <v/>
      </c>
      <c r="C21" s="195"/>
      <c r="D21" s="216" t="str">
        <f ca="1">IF(L17&lt;&gt;"",INDEX(회계장부!$C:$C,L17,1),"")</f>
        <v/>
      </c>
      <c r="E21" s="217"/>
      <c r="F21" s="211" t="str">
        <f ca="1">IF(L23&lt;&gt;"",INDEX(회계장부!$B:$B,L23,1),"")</f>
        <v/>
      </c>
      <c r="G21" s="185"/>
      <c r="H21" s="7" t="str">
        <f ca="1">IF(L23&lt;&gt;"",INDEX(회계장부!$C:$C,L23,1),"")</f>
        <v/>
      </c>
      <c r="J21" s="76">
        <v>6</v>
      </c>
      <c r="K21" s="76" t="str">
        <f t="array" aca="1" ref="K21" ca="1">IF($J21&lt;=K$15,MATCH(1,(OFFSET(회계장부!$A$1,K20,,$J$13-K20+1,)=기준일자)*(OFFSET(회계장부!$G$1,K20,,$J$13-K20+1,)=K$14),0)+K20,"")</f>
        <v/>
      </c>
      <c r="L21" s="76" t="str">
        <f t="array" aca="1" ref="L21" ca="1">IF($J21&lt;=L$15,MATCH(1,(OFFSET(회계장부!$A$1,L20,,$J$13-L20+1,)=기준일자)*(OFFSET(회계장부!$G$1,L20,,$J$13-L20+1,)=L$14),0)+L20,"")</f>
        <v/>
      </c>
    </row>
    <row r="22" spans="1:15" ht="24.95" customHeight="1" x14ac:dyDescent="0.3">
      <c r="A22" s="176"/>
      <c r="B22" s="203" t="str">
        <f ca="1">IF(L18&lt;&gt;"",INDEX(회계장부!$B:$B,L18,1),"")</f>
        <v/>
      </c>
      <c r="C22" s="195"/>
      <c r="D22" s="216" t="str">
        <f ca="1">IF(L18&lt;&gt;"",INDEX(회계장부!$C:$C,L18,1),"")</f>
        <v/>
      </c>
      <c r="E22" s="217"/>
      <c r="F22" s="211" t="str">
        <f ca="1">IF(L24&lt;&gt;"",INDEX(회계장부!$B:$B,L24,1),"")</f>
        <v/>
      </c>
      <c r="G22" s="185"/>
      <c r="H22" s="7" t="str">
        <f ca="1">IF(L24&lt;&gt;"",INDEX(회계장부!$C:$C,L24,1),"")</f>
        <v/>
      </c>
      <c r="J22" s="76">
        <v>7</v>
      </c>
      <c r="K22" s="76" t="str">
        <f t="array" aca="1" ref="K22" ca="1">IF($J22&lt;=K$15,MATCH(1,(OFFSET(회계장부!$A$1,K21,,$J$13-K21+1,)=기준일자)*(OFFSET(회계장부!$G$1,K21,,$J$13-K21+1,)=K$14),0)+K21,"")</f>
        <v/>
      </c>
      <c r="L22" s="76" t="str">
        <f t="array" aca="1" ref="L22" ca="1">IF($J22&lt;=L$15,MATCH(1,(OFFSET(회계장부!$A$1,L21,,$J$13-L21+1,)=기준일자)*(OFFSET(회계장부!$G$1,L21,,$J$13-L21+1,)=L$14),0)+L21,"")</f>
        <v/>
      </c>
    </row>
    <row r="23" spans="1:15" ht="24.95" customHeight="1" x14ac:dyDescent="0.3">
      <c r="A23" s="176"/>
      <c r="B23" s="203" t="str">
        <f ca="1">IF(L19&lt;&gt;"",INDEX(회계장부!$B:$B,L19,1),"")</f>
        <v/>
      </c>
      <c r="C23" s="195"/>
      <c r="D23" s="216" t="str">
        <f ca="1">IF(L19&lt;&gt;"",INDEX(회계장부!$C:$C,L19,1),"")</f>
        <v/>
      </c>
      <c r="E23" s="217"/>
      <c r="F23" s="211" t="str">
        <f ca="1">IF(L25&lt;&gt;"",INDEX(회계장부!$B:$B,L25,1),"")</f>
        <v/>
      </c>
      <c r="G23" s="185"/>
      <c r="H23" s="7" t="str">
        <f ca="1">IF(L25&lt;&gt;"",INDEX(회계장부!$C:$C,L25,1),"")</f>
        <v/>
      </c>
      <c r="J23" s="76">
        <v>8</v>
      </c>
      <c r="K23" s="76" t="str">
        <f t="array" aca="1" ref="K23" ca="1">IF($J23&lt;=K$15,MATCH(1,(OFFSET(회계장부!$A$1,K22,,$J$13-K22+1,)=기준일자)*(OFFSET(회계장부!$G$1,K22,,$J$13-K22+1,)=K$14),0)+K22,"")</f>
        <v/>
      </c>
      <c r="L23" s="76" t="str">
        <f t="array" aca="1" ref="L23" ca="1">IF($J23&lt;=L$15,MATCH(1,(OFFSET(회계장부!$A$1,L22,,$J$13-L22+1,)=기준일자)*(OFFSET(회계장부!$G$1,L22,,$J$13-L22+1,)=L$14),0)+L22,"")</f>
        <v/>
      </c>
    </row>
    <row r="24" spans="1:15" ht="24.95" customHeight="1" thickBot="1" x14ac:dyDescent="0.35">
      <c r="A24" s="176"/>
      <c r="B24" s="203" t="str">
        <f ca="1">IF(L20&lt;&gt;"",INDEX(회계장부!$B:$B,L20,1),"")</f>
        <v/>
      </c>
      <c r="C24" s="195"/>
      <c r="D24" s="216" t="str">
        <f ca="1">IF(L20&lt;&gt;"",INDEX(회계장부!$C:$C,L20,1),"")</f>
        <v/>
      </c>
      <c r="E24" s="217"/>
      <c r="F24" s="212" t="str">
        <f ca="1">IF(L26&lt;&gt;"",INDEX(회계장부!$B:$B,L26,1),"")</f>
        <v/>
      </c>
      <c r="G24" s="213"/>
      <c r="H24" s="79" t="str">
        <f ca="1">IF(L26&lt;&gt;"",INDEX(회계장부!$C:$C,L26,1),"")</f>
        <v/>
      </c>
      <c r="J24" s="76">
        <v>9</v>
      </c>
      <c r="K24" s="76" t="str">
        <f t="array" aca="1" ref="K24" ca="1">IF($J24&lt;=K$15,MATCH(1,(OFFSET(회계장부!$A$1,K23,,$J$13-K23+1,)=기준일자)*(OFFSET(회계장부!$G$1,K23,,$J$13-K23+1,)=K$14),0)+K23,"")</f>
        <v/>
      </c>
      <c r="L24" s="76" t="str">
        <f t="array" aca="1" ref="L24" ca="1">IF($J24&lt;=L$15,MATCH(1,(OFFSET(회계장부!$A$1,L23,,$J$13-L23+1,)=기준일자)*(OFFSET(회계장부!$G$1,L23,,$J$13-L23+1,)=L$14),0)+L23,"")</f>
        <v/>
      </c>
    </row>
    <row r="25" spans="1:15" ht="24.95" customHeight="1" thickBot="1" x14ac:dyDescent="0.35">
      <c r="A25" s="176"/>
      <c r="B25" s="226" t="str">
        <f ca="1">IF(L21&lt;&gt;"",INDEX(회계장부!$B:$B,L21,1),"")</f>
        <v/>
      </c>
      <c r="C25" s="227"/>
      <c r="D25" s="180" t="str">
        <f ca="1">IF(L21&lt;&gt;"",INDEX(회계장부!$C:$C,L21,1),"")</f>
        <v/>
      </c>
      <c r="E25" s="181"/>
      <c r="F25" s="197" t="s">
        <v>156</v>
      </c>
      <c r="G25" s="198"/>
      <c r="H25" s="80">
        <f ca="1">SUM(D20:E25,H20:H24)</f>
        <v>0</v>
      </c>
      <c r="J25" s="76">
        <v>10</v>
      </c>
      <c r="K25" s="76" t="str">
        <f t="array" aca="1" ref="K25" ca="1">IF($J25&lt;=K$15,MATCH(1,(OFFSET(회계장부!$A$1,K24,,$J$13-K24+1,)=기준일자)*(OFFSET(회계장부!$G$1,K24,,$J$13-K24+1,)=K$14),0)+K24,"")</f>
        <v/>
      </c>
      <c r="L25" s="76" t="str">
        <f t="array" aca="1" ref="L25" ca="1">IF($J25&lt;=L$15,MATCH(1,(OFFSET(회계장부!$A$1,L24,,$J$13-L24+1,)=기준일자)*(OFFSET(회계장부!$G$1,L24,,$J$13-L24+1,)=L$14),0)+L24,"")</f>
        <v/>
      </c>
    </row>
    <row r="26" spans="1:15" ht="24.95" customHeight="1" x14ac:dyDescent="0.3">
      <c r="A26" s="176" t="s">
        <v>36</v>
      </c>
      <c r="B26" s="200" t="s">
        <v>37</v>
      </c>
      <c r="C26" s="200"/>
      <c r="D26" s="231" t="s">
        <v>38</v>
      </c>
      <c r="E26" s="231"/>
      <c r="F26" s="232"/>
      <c r="G26" s="233" t="s">
        <v>130</v>
      </c>
      <c r="H26" s="234"/>
      <c r="J26" s="76">
        <v>11</v>
      </c>
      <c r="K26" s="76" t="str">
        <f t="array" aca="1" ref="K26" ca="1">IF($J26&lt;=K$15,MATCH(1,(OFFSET(회계장부!$A$1,K25,,$J$13-K25+1,)=기준일자)*(OFFSET(회계장부!$G$1,K25,,$J$13-K25+1,)=K$14),0)+K25,"")</f>
        <v/>
      </c>
      <c r="L26" s="76" t="str">
        <f t="array" aca="1" ref="L26" ca="1">IF($J26&lt;=L$15,MATCH(1,(OFFSET(회계장부!$A$1,L25,,$J$13-L25+1,)=기준일자)*(OFFSET(회계장부!$G$1,L25,,$J$13-L25+1,)=L$14),0)+L25,"")</f>
        <v/>
      </c>
    </row>
    <row r="27" spans="1:15" ht="24.95" customHeight="1" x14ac:dyDescent="0.3">
      <c r="A27" s="176"/>
      <c r="B27" s="235"/>
      <c r="C27" s="236"/>
      <c r="D27" s="218"/>
      <c r="E27" s="219"/>
      <c r="F27" s="220"/>
      <c r="G27" s="200"/>
      <c r="H27" s="204"/>
      <c r="J27" s="76">
        <v>12</v>
      </c>
      <c r="K27" s="76" t="str">
        <f t="array" aca="1" ref="K27" ca="1">IF($J27&lt;=K$15,MATCH(1,(OFFSET(회계장부!$A$1,K26,,$J$13-K26+1,)=기준일자)*(OFFSET(회계장부!$G$1,K26,,$J$13-K26+1,)=K$14),0)+K26,"")</f>
        <v/>
      </c>
      <c r="L27" s="78"/>
    </row>
    <row r="28" spans="1:15" ht="24.95" customHeight="1" thickBot="1" x14ac:dyDescent="0.35">
      <c r="A28" s="199"/>
      <c r="B28" s="237"/>
      <c r="C28" s="238"/>
      <c r="D28" s="221"/>
      <c r="E28" s="222"/>
      <c r="F28" s="223"/>
      <c r="G28" s="224"/>
      <c r="H28" s="225"/>
      <c r="J28" s="76">
        <v>13</v>
      </c>
      <c r="K28" s="76" t="str">
        <f t="array" aca="1" ref="K28" ca="1">IF($J28&lt;=K$15,MATCH(1,(OFFSET(회계장부!$A$1,K27,,$J$13-K27+1,)=기준일자)*(OFFSET(회계장부!$G$1,K27,,$J$13-K27+1,)=K$14),0)+K27,"")</f>
        <v/>
      </c>
      <c r="L28" s="78"/>
    </row>
    <row r="29" spans="1:15" ht="24.95" customHeight="1" x14ac:dyDescent="0.3">
      <c r="A29" s="230" t="s">
        <v>39</v>
      </c>
      <c r="B29" s="230"/>
      <c r="C29" s="230"/>
      <c r="D29" s="230"/>
      <c r="E29" s="230"/>
      <c r="F29" s="230"/>
      <c r="G29" s="230"/>
      <c r="H29" s="230"/>
      <c r="J29" s="76">
        <v>14</v>
      </c>
      <c r="K29" s="76" t="str">
        <f t="array" aca="1" ref="K29" ca="1">IF($J29&lt;=K$15,MATCH(1,(OFFSET(회계장부!$A$1,K28,,$J$13-K28+1,)=기준일자)*(OFFSET(회계장부!$G$1,K28,,$J$13-K28+1,)=K$14),0)+K28,"")</f>
        <v/>
      </c>
      <c r="L29" s="78"/>
    </row>
    <row r="30" spans="1:15" ht="24.95" customHeight="1" x14ac:dyDescent="0.3">
      <c r="J30" s="76">
        <v>15</v>
      </c>
      <c r="K30" s="76" t="str">
        <f t="array" aca="1" ref="K30" ca="1">IF($J30&lt;=K$15,MATCH(1,(OFFSET(회계장부!$A$1,K29,,$J$13-K29+1,)=기준일자)*(OFFSET(회계장부!$G$1,K29,,$J$13-K29+1,)=K$14),0)+K29,"")</f>
        <v/>
      </c>
      <c r="L30" s="78"/>
    </row>
    <row r="31" spans="1:15" ht="24.95" customHeight="1" x14ac:dyDescent="0.3">
      <c r="J31" s="76">
        <v>16</v>
      </c>
      <c r="K31" s="76" t="str">
        <f t="array" aca="1" ref="K31" ca="1">IF($J31&lt;=K$15,MATCH(1,(OFFSET(회계장부!$A$1,K30,,$J$13-K30+1,)=기준일자)*(OFFSET(회계장부!$G$1,K30,,$J$13-K30+1,)=K$14),0)+K30,"")</f>
        <v/>
      </c>
      <c r="L31" s="78"/>
    </row>
    <row r="32" spans="1:15" ht="24.95" customHeight="1" x14ac:dyDescent="0.3">
      <c r="J32" s="76">
        <v>17</v>
      </c>
      <c r="K32" s="76" t="str">
        <f t="array" aca="1" ref="K32" ca="1">IF($J32&lt;=K$15,MATCH(1,(OFFSET(회계장부!$A$1,K31,,$J$13-K31+1,)=기준일자)*(OFFSET(회계장부!$G$1,K31,,$J$13-K31+1,)=K$14),0)+K31,"")</f>
        <v/>
      </c>
      <c r="L32" s="78"/>
    </row>
  </sheetData>
  <sheetProtection algorithmName="SHA-512" hashValue="S8e3+KkUthUz8Ah65r1V51D3+Daarimz4G+B9XQ3IhHyCVn/EVBAO1FMb3tZubDy+f7BBckiymLd+F0NQograQ==" saltValue="eJ6NJ60m6ii+aoUvvWUFtw==" spinCount="100000" sheet="1" objects="1" scenarios="1"/>
  <mergeCells count="73">
    <mergeCell ref="A1:H1"/>
    <mergeCell ref="A29:H29"/>
    <mergeCell ref="B11:C11"/>
    <mergeCell ref="B12:C12"/>
    <mergeCell ref="B13:C13"/>
    <mergeCell ref="B14:C14"/>
    <mergeCell ref="F6:G6"/>
    <mergeCell ref="F7:G7"/>
    <mergeCell ref="F8:G8"/>
    <mergeCell ref="F9:G9"/>
    <mergeCell ref="F10:G10"/>
    <mergeCell ref="F11:G11"/>
    <mergeCell ref="D10:E10"/>
    <mergeCell ref="D26:F26"/>
    <mergeCell ref="G26:H26"/>
    <mergeCell ref="B27:C28"/>
    <mergeCell ref="D27:F28"/>
    <mergeCell ref="G27:H28"/>
    <mergeCell ref="F25:G25"/>
    <mergeCell ref="B24:C24"/>
    <mergeCell ref="B25:C25"/>
    <mergeCell ref="D25:E25"/>
    <mergeCell ref="D20:E20"/>
    <mergeCell ref="D21:E21"/>
    <mergeCell ref="D22:E22"/>
    <mergeCell ref="D23:E23"/>
    <mergeCell ref="D24:E24"/>
    <mergeCell ref="F20:G20"/>
    <mergeCell ref="F21:G21"/>
    <mergeCell ref="F22:G22"/>
    <mergeCell ref="F23:G23"/>
    <mergeCell ref="F24:G24"/>
    <mergeCell ref="G18:H18"/>
    <mergeCell ref="G19:H19"/>
    <mergeCell ref="D15:F15"/>
    <mergeCell ref="E18:F18"/>
    <mergeCell ref="E19:F19"/>
    <mergeCell ref="A18:A19"/>
    <mergeCell ref="A20:A25"/>
    <mergeCell ref="A26:A28"/>
    <mergeCell ref="B15:C15"/>
    <mergeCell ref="B20:C20"/>
    <mergeCell ref="B21:C21"/>
    <mergeCell ref="B22:C22"/>
    <mergeCell ref="B23:C23"/>
    <mergeCell ref="B26:C26"/>
    <mergeCell ref="E4:F4"/>
    <mergeCell ref="F3:G3"/>
    <mergeCell ref="C5:F5"/>
    <mergeCell ref="G5:H5"/>
    <mergeCell ref="A15:A17"/>
    <mergeCell ref="G15:H15"/>
    <mergeCell ref="E16:F16"/>
    <mergeCell ref="E17:F17"/>
    <mergeCell ref="F12:G12"/>
    <mergeCell ref="F13:G13"/>
    <mergeCell ref="F14:G14"/>
    <mergeCell ref="A2:H2"/>
    <mergeCell ref="A6:A14"/>
    <mergeCell ref="D6:E6"/>
    <mergeCell ref="D7:E7"/>
    <mergeCell ref="D8:E8"/>
    <mergeCell ref="D9:E9"/>
    <mergeCell ref="D11:E11"/>
    <mergeCell ref="D12:E12"/>
    <mergeCell ref="D13:E13"/>
    <mergeCell ref="D14:E14"/>
    <mergeCell ref="B6:C6"/>
    <mergeCell ref="B7:C7"/>
    <mergeCell ref="B8:C8"/>
    <mergeCell ref="B9:C9"/>
    <mergeCell ref="B10:C10"/>
    <mergeCell ref="B3:E3"/>
  </mergeCells>
  <phoneticPr fontId="2" type="noConversion"/>
  <conditionalFormatting sqref="A2:H2">
    <cfRule type="expression" dxfId="9" priority="1">
      <formula>LEN(A2)&gt;0</formula>
    </cfRule>
  </conditionalFormatting>
  <pageMargins left="0.27559055118110237" right="7.874015748031496E-2" top="0.47244094488188981" bottom="0.31496062992125984" header="0.31496062992125984" footer="0.31496062992125984"/>
  <pageSetup paperSize="9" orientation="portrait" horizontalDpi="4294967293" verticalDpi="4294967293" r:id="rId1"/>
  <colBreaks count="1" manualBreakCount="1">
    <brk id="8" max="2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4"/>
  <sheetViews>
    <sheetView workbookViewId="0">
      <selection activeCell="E12" sqref="E12"/>
    </sheetView>
  </sheetViews>
  <sheetFormatPr defaultRowHeight="24.95" customHeight="1" x14ac:dyDescent="0.3"/>
  <cols>
    <col min="1" max="1" width="9" style="1"/>
    <col min="2" max="2" width="12" style="12" customWidth="1"/>
    <col min="3" max="3" width="12.625" style="12" customWidth="1"/>
    <col min="4" max="4" width="12.5" style="12" customWidth="1"/>
    <col min="5" max="5" width="13.375" style="12" customWidth="1"/>
    <col min="6" max="6" width="10.875" style="12" bestFit="1" customWidth="1"/>
    <col min="7" max="8" width="9" style="12"/>
  </cols>
  <sheetData>
    <row r="1" spans="1:6" customFormat="1" ht="24.95" customHeight="1" x14ac:dyDescent="0.3">
      <c r="A1" s="73" t="s">
        <v>46</v>
      </c>
      <c r="B1" s="239" t="s">
        <v>41</v>
      </c>
      <c r="C1" s="239"/>
      <c r="D1" s="239" t="s">
        <v>29</v>
      </c>
      <c r="E1" s="239"/>
      <c r="F1" s="239" t="s">
        <v>42</v>
      </c>
    </row>
    <row r="2" spans="1:6" customFormat="1" ht="24.95" customHeight="1" x14ac:dyDescent="0.3">
      <c r="A2" s="73" t="s">
        <v>12</v>
      </c>
      <c r="B2" s="74" t="s">
        <v>14</v>
      </c>
      <c r="C2" s="74" t="s">
        <v>15</v>
      </c>
      <c r="D2" s="74" t="s">
        <v>14</v>
      </c>
      <c r="E2" s="74" t="s">
        <v>15</v>
      </c>
      <c r="F2" s="239"/>
    </row>
    <row r="3" spans="1:6" customFormat="1" ht="24.95" customHeight="1" x14ac:dyDescent="0.3">
      <c r="A3" s="73">
        <v>1</v>
      </c>
      <c r="B3" s="72">
        <f>SUMIFS(수입,회계월,월별누계!A3)</f>
        <v>1500000</v>
      </c>
      <c r="C3" s="72">
        <f>SUMIFS(지출,회계월,월별누계!A3)</f>
        <v>100000</v>
      </c>
      <c r="D3" s="72">
        <f>SUMIFS(수입,회계월,"&lt;="&amp; 월별누계!A3)</f>
        <v>1500000</v>
      </c>
      <c r="E3" s="72">
        <f>SUMIFS(지출,회계월,"&lt;="&amp; 월별누계!A3)</f>
        <v>100000</v>
      </c>
      <c r="F3" s="72">
        <f>D3-E3</f>
        <v>1400000</v>
      </c>
    </row>
    <row r="4" spans="1:6" customFormat="1" ht="24.95" customHeight="1" x14ac:dyDescent="0.3">
      <c r="A4" s="73">
        <v>2</v>
      </c>
      <c r="B4" s="72">
        <f>SUMIFS(수입,회계월,월별누계!A4)</f>
        <v>0</v>
      </c>
      <c r="C4" s="72">
        <f>SUMIFS(지출,회계월,월별누계!A4)</f>
        <v>0</v>
      </c>
      <c r="D4" s="72">
        <f>SUMIFS(수입,회계월,"&lt;="&amp; 월별누계!A4)</f>
        <v>1500000</v>
      </c>
      <c r="E4" s="72">
        <f>SUMIFS(지출,회계월,"&lt;="&amp; 월별누계!A4)</f>
        <v>100000</v>
      </c>
      <c r="F4" s="72">
        <f t="shared" ref="F4:F14" si="0">D4-E4</f>
        <v>1400000</v>
      </c>
    </row>
    <row r="5" spans="1:6" customFormat="1" ht="24.95" customHeight="1" x14ac:dyDescent="0.3">
      <c r="A5" s="73">
        <v>3</v>
      </c>
      <c r="B5" s="72">
        <f>SUMIFS(수입,회계월,월별누계!A5)</f>
        <v>0</v>
      </c>
      <c r="C5" s="72">
        <f>SUMIFS(지출,회계월,월별누계!A5)</f>
        <v>0</v>
      </c>
      <c r="D5" s="72">
        <f>SUMIFS(수입,회계월,"&lt;="&amp; 월별누계!A5)</f>
        <v>1500000</v>
      </c>
      <c r="E5" s="72">
        <f>SUMIFS(지출,회계월,"&lt;="&amp; 월별누계!A5)</f>
        <v>100000</v>
      </c>
      <c r="F5" s="72">
        <f t="shared" si="0"/>
        <v>1400000</v>
      </c>
    </row>
    <row r="6" spans="1:6" customFormat="1" ht="24.95" customHeight="1" x14ac:dyDescent="0.3">
      <c r="A6" s="73">
        <v>4</v>
      </c>
      <c r="B6" s="72">
        <f>SUMIFS(수입,회계월,월별누계!A6)</f>
        <v>0</v>
      </c>
      <c r="C6" s="72">
        <f>SUMIFS(지출,회계월,월별누계!A6)</f>
        <v>0</v>
      </c>
      <c r="D6" s="72">
        <f>SUMIFS(수입,회계월,"&lt;="&amp; 월별누계!A6)</f>
        <v>1500000</v>
      </c>
      <c r="E6" s="72">
        <f>SUMIFS(지출,회계월,"&lt;="&amp; 월별누계!A6)</f>
        <v>100000</v>
      </c>
      <c r="F6" s="72">
        <f t="shared" si="0"/>
        <v>1400000</v>
      </c>
    </row>
    <row r="7" spans="1:6" customFormat="1" ht="24.95" customHeight="1" x14ac:dyDescent="0.3">
      <c r="A7" s="73">
        <v>5</v>
      </c>
      <c r="B7" s="72">
        <f>SUMIFS(수입,회계월,월별누계!A7)</f>
        <v>0</v>
      </c>
      <c r="C7" s="72">
        <f>SUMIFS(지출,회계월,월별누계!A7)</f>
        <v>0</v>
      </c>
      <c r="D7" s="72">
        <f>SUMIFS(수입,회계월,"&lt;="&amp; 월별누계!A7)</f>
        <v>1500000</v>
      </c>
      <c r="E7" s="72">
        <f>SUMIFS(지출,회계월,"&lt;="&amp; 월별누계!A7)</f>
        <v>100000</v>
      </c>
      <c r="F7" s="72">
        <f t="shared" si="0"/>
        <v>1400000</v>
      </c>
    </row>
    <row r="8" spans="1:6" customFormat="1" ht="24.95" customHeight="1" x14ac:dyDescent="0.3">
      <c r="A8" s="73">
        <v>6</v>
      </c>
      <c r="B8" s="72">
        <f>SUMIFS(수입,회계월,월별누계!A8)</f>
        <v>0</v>
      </c>
      <c r="C8" s="72">
        <f>SUMIFS(지출,회계월,월별누계!A8)</f>
        <v>0</v>
      </c>
      <c r="D8" s="72">
        <f>SUMIFS(수입,회계월,"&lt;="&amp; 월별누계!A8)</f>
        <v>1500000</v>
      </c>
      <c r="E8" s="72">
        <f>SUMIFS(지출,회계월,"&lt;="&amp; 월별누계!A8)</f>
        <v>100000</v>
      </c>
      <c r="F8" s="72">
        <f t="shared" si="0"/>
        <v>1400000</v>
      </c>
    </row>
    <row r="9" spans="1:6" customFormat="1" ht="24.95" customHeight="1" x14ac:dyDescent="0.3">
      <c r="A9" s="73">
        <v>7</v>
      </c>
      <c r="B9" s="72">
        <f>SUMIFS(수입,회계월,월별누계!A9)</f>
        <v>0</v>
      </c>
      <c r="C9" s="72">
        <f>SUMIFS(지출,회계월,월별누계!A9)</f>
        <v>0</v>
      </c>
      <c r="D9" s="72">
        <f>SUMIFS(수입,회계월,"&lt;="&amp; 월별누계!A9)</f>
        <v>1500000</v>
      </c>
      <c r="E9" s="72">
        <f>SUMIFS(지출,회계월,"&lt;="&amp; 월별누계!A9)</f>
        <v>100000</v>
      </c>
      <c r="F9" s="72">
        <f t="shared" si="0"/>
        <v>1400000</v>
      </c>
    </row>
    <row r="10" spans="1:6" customFormat="1" ht="24.95" customHeight="1" x14ac:dyDescent="0.3">
      <c r="A10" s="73">
        <v>8</v>
      </c>
      <c r="B10" s="72">
        <f>SUMIFS(수입,회계월,월별누계!A10)</f>
        <v>0</v>
      </c>
      <c r="C10" s="72">
        <f>SUMIFS(지출,회계월,월별누계!A10)</f>
        <v>0</v>
      </c>
      <c r="D10" s="72">
        <f>SUMIFS(수입,회계월,"&lt;="&amp; 월별누계!A10)</f>
        <v>1500000</v>
      </c>
      <c r="E10" s="72">
        <f>SUMIFS(지출,회계월,"&lt;="&amp; 월별누계!A10)</f>
        <v>100000</v>
      </c>
      <c r="F10" s="72">
        <f t="shared" si="0"/>
        <v>1400000</v>
      </c>
    </row>
    <row r="11" spans="1:6" customFormat="1" ht="24.95" customHeight="1" x14ac:dyDescent="0.3">
      <c r="A11" s="73">
        <v>9</v>
      </c>
      <c r="B11" s="72">
        <f>SUMIFS(수입,회계월,월별누계!A11)</f>
        <v>0</v>
      </c>
      <c r="C11" s="72">
        <f>SUMIFS(지출,회계월,월별누계!A11)</f>
        <v>0</v>
      </c>
      <c r="D11" s="72">
        <f>SUMIFS(수입,회계월,"&lt;="&amp; 월별누계!A11)</f>
        <v>1500000</v>
      </c>
      <c r="E11" s="72">
        <f>SUMIFS(지출,회계월,"&lt;="&amp; 월별누계!A11)</f>
        <v>100000</v>
      </c>
      <c r="F11" s="72">
        <f t="shared" si="0"/>
        <v>1400000</v>
      </c>
    </row>
    <row r="12" spans="1:6" customFormat="1" ht="24.95" customHeight="1" x14ac:dyDescent="0.3">
      <c r="A12" s="73">
        <v>10</v>
      </c>
      <c r="B12" s="72">
        <f>SUMIFS(수입,회계월,월별누계!A12)</f>
        <v>0</v>
      </c>
      <c r="C12" s="72">
        <f>SUMIFS(지출,회계월,월별누계!A12)</f>
        <v>0</v>
      </c>
      <c r="D12" s="72">
        <f>SUMIFS(수입,회계월,"&lt;="&amp; 월별누계!A12)</f>
        <v>1500000</v>
      </c>
      <c r="E12" s="72">
        <f>SUMIFS(지출,회계월,"&lt;="&amp; 월별누계!A12)</f>
        <v>100000</v>
      </c>
      <c r="F12" s="72">
        <f t="shared" si="0"/>
        <v>1400000</v>
      </c>
    </row>
    <row r="13" spans="1:6" customFormat="1" ht="24.95" customHeight="1" x14ac:dyDescent="0.3">
      <c r="A13" s="73">
        <v>11</v>
      </c>
      <c r="B13" s="72">
        <f>SUMIFS(수입,회계월,월별누계!A13)</f>
        <v>0</v>
      </c>
      <c r="C13" s="72">
        <f>SUMIFS(지출,회계월,월별누계!A13)</f>
        <v>0</v>
      </c>
      <c r="D13" s="72">
        <f>SUMIFS(수입,회계월,"&lt;="&amp; 월별누계!A13)</f>
        <v>1500000</v>
      </c>
      <c r="E13" s="72">
        <f>SUMIFS(지출,회계월,"&lt;="&amp; 월별누계!A13)</f>
        <v>100000</v>
      </c>
      <c r="F13" s="72">
        <f t="shared" si="0"/>
        <v>1400000</v>
      </c>
    </row>
    <row r="14" spans="1:6" customFormat="1" ht="24.95" customHeight="1" x14ac:dyDescent="0.3">
      <c r="A14" s="73">
        <v>12</v>
      </c>
      <c r="B14" s="72">
        <f>SUMIFS(수입,회계월,월별누계!A14)</f>
        <v>0</v>
      </c>
      <c r="C14" s="72">
        <f>SUMIFS(지출,회계월,월별누계!A14)</f>
        <v>0</v>
      </c>
      <c r="D14" s="72">
        <f>SUMIFS(수입,회계월,"&lt;="&amp; 월별누계!A14)</f>
        <v>1500000</v>
      </c>
      <c r="E14" s="72">
        <f>SUMIFS(지출,회계월,"&lt;="&amp; 월별누계!A14)</f>
        <v>100000</v>
      </c>
      <c r="F14" s="72">
        <f t="shared" si="0"/>
        <v>1400000</v>
      </c>
    </row>
  </sheetData>
  <sheetProtection algorithmName="SHA-512" hashValue="sPS3SUEYuQSguL2UWtd5vAZjWMlb6yc/HdBlyRV0CEPt0VAI6y0QDZPqkwmD/ASQqoZq31rogcFC1cF0orOLjA==" saltValue="65Q9p1nGoeh2GFZjXA1okw==" spinCount="100000" sheet="1" objects="1" scenarios="1"/>
  <mergeCells count="3">
    <mergeCell ref="B1:C1"/>
    <mergeCell ref="D1:E1"/>
    <mergeCell ref="F1:F2"/>
  </mergeCells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C0A2A-6021-4C6F-B816-B9E67F2A3A57}">
  <dimension ref="A1:K36"/>
  <sheetViews>
    <sheetView zoomScaleNormal="100" workbookViewId="0">
      <selection activeCell="K17" sqref="K17"/>
    </sheetView>
  </sheetViews>
  <sheetFormatPr defaultRowHeight="16.5" x14ac:dyDescent="0.3"/>
  <cols>
    <col min="1" max="1" width="12.5" style="66" customWidth="1"/>
    <col min="2" max="2" width="13.625" style="66" customWidth="1"/>
    <col min="3" max="4" width="11.625" customWidth="1"/>
    <col min="5" max="5" width="12.5" customWidth="1"/>
    <col min="6" max="6" width="13.625" customWidth="1"/>
    <col min="7" max="8" width="11.625" customWidth="1"/>
    <col min="11" max="11" width="11.125" style="54" bestFit="1" customWidth="1"/>
  </cols>
  <sheetData>
    <row r="1" spans="1:11" ht="23.25" thickBot="1" x14ac:dyDescent="0.35">
      <c r="A1" s="240" t="str">
        <f>IF(ISERROR(FIND("오류",회계코드!$B$11,1)),"회계 보고서","회계코드 설정에 오류가 있습니다.")</f>
        <v>회계 보고서</v>
      </c>
      <c r="B1" s="240"/>
      <c r="C1" s="240"/>
      <c r="D1" s="240"/>
      <c r="E1" s="240"/>
      <c r="F1" s="240"/>
      <c r="G1" s="240"/>
      <c r="H1" s="240"/>
    </row>
    <row r="2" spans="1:11" ht="20.25" customHeight="1" x14ac:dyDescent="0.3">
      <c r="A2" s="241" t="str">
        <f>"(대상기간 : " &amp; YEAR(K3) &amp; "년 " &amp; MONTH(K3) &amp; "월 " &amp; DAY(K3) &amp; "일" &amp; " - " &amp; YEAR(K4) &amp; "년 " &amp; MONTH(K4) &amp; "월 " &amp; DAY(K4) &amp; "일" &amp; ")"</f>
        <v>(대상기간 : 2020년 1월 1일 - 2020년 6월 30일)</v>
      </c>
      <c r="B2" s="241"/>
      <c r="C2" s="241"/>
      <c r="D2" s="241"/>
      <c r="E2" s="241"/>
      <c r="F2" s="241"/>
      <c r="G2" s="241"/>
      <c r="H2" s="241"/>
      <c r="J2" s="55" t="s">
        <v>135</v>
      </c>
      <c r="K2" s="56" t="s">
        <v>136</v>
      </c>
    </row>
    <row r="3" spans="1:11" ht="17.25" customHeight="1" thickBot="1" x14ac:dyDescent="0.35">
      <c r="A3" s="248" t="str">
        <f>IF(LEN(부서명)&gt;0,"대구동부교회 "&amp;부서명,"회계코드 Sheet에서 부서명을 입력하세요.")</f>
        <v>회계코드 Sheet에서 부서명을 입력하세요.</v>
      </c>
      <c r="B3" s="248"/>
      <c r="C3" s="248"/>
      <c r="D3" s="248"/>
      <c r="E3" s="248"/>
      <c r="F3" s="248"/>
      <c r="G3" s="248"/>
      <c r="H3" s="248"/>
      <c r="J3" s="57" t="s">
        <v>137</v>
      </c>
      <c r="K3" s="172">
        <v>43831</v>
      </c>
    </row>
    <row r="4" spans="1:11" ht="24.95" customHeight="1" thickBot="1" x14ac:dyDescent="0.35">
      <c r="A4" s="242" t="s">
        <v>14</v>
      </c>
      <c r="B4" s="242"/>
      <c r="C4" s="243"/>
      <c r="D4" s="244"/>
      <c r="E4" s="245" t="s">
        <v>15</v>
      </c>
      <c r="F4" s="242"/>
      <c r="G4" s="243"/>
      <c r="H4" s="244"/>
      <c r="J4" s="58" t="s">
        <v>138</v>
      </c>
      <c r="K4" s="173">
        <v>44012</v>
      </c>
    </row>
    <row r="5" spans="1:11" ht="24.95" customHeight="1" thickBot="1" x14ac:dyDescent="0.35">
      <c r="A5" s="59" t="s">
        <v>8</v>
      </c>
      <c r="B5" s="102" t="s">
        <v>7</v>
      </c>
      <c r="C5" s="246" t="s">
        <v>139</v>
      </c>
      <c r="D5" s="247"/>
      <c r="E5" s="60" t="s">
        <v>8</v>
      </c>
      <c r="F5" s="102" t="s">
        <v>7</v>
      </c>
      <c r="G5" s="246" t="s">
        <v>140</v>
      </c>
      <c r="H5" s="247"/>
    </row>
    <row r="6" spans="1:11" ht="24.95" customHeight="1" thickTop="1" x14ac:dyDescent="0.3">
      <c r="A6" s="259" t="s">
        <v>6</v>
      </c>
      <c r="B6" s="67" t="s">
        <v>145</v>
      </c>
      <c r="C6" s="61">
        <f>SUMIFS(수입,항목,B6,회계장부!A:A,"&gt;="&amp;기준일자_시작일,회계장부!A:A,"&lt;="&amp;기준일자_종료일)</f>
        <v>0</v>
      </c>
      <c r="D6" s="261">
        <f>SUM(C6:C7)</f>
        <v>0</v>
      </c>
      <c r="E6" s="156" t="str">
        <f t="shared" ref="E6:E33" si="0">IFERROR(VLOOKUP(ROW(E6),지출관정렬,2,FALSE),"")</f>
        <v>간식/식대비</v>
      </c>
      <c r="F6" s="100" t="str">
        <f t="shared" ref="F6:F33" si="1">IFERROR(VLOOKUP(ROW(F6),지출항목정렬,2,FALSE),"")</f>
        <v>수/토/주일간식</v>
      </c>
      <c r="G6" s="101">
        <f>IF(ISBLANK(F6),"",SUMIFS(지출,항목,F6,회계장부!A:A,"&gt;="&amp;기준일자_시작일,회계장부!A:A,"&lt;="&amp;기준일자_종료일))</f>
        <v>0</v>
      </c>
      <c r="H6" s="157">
        <f ca="1">IF(LEN(E6)&gt;0,SUM(OFFSET(G6,,,INDEX(회계코드!$A$21:$L$21,,MATCH(E6,회계코드!$A$12:$L$12,0)),1)),"")</f>
        <v>0</v>
      </c>
    </row>
    <row r="7" spans="1:11" ht="24.95" customHeight="1" x14ac:dyDescent="0.3">
      <c r="A7" s="260"/>
      <c r="B7" s="68" t="s">
        <v>56</v>
      </c>
      <c r="C7" s="61">
        <f>SUMIFS(수입,항목,B7,회계장부!A:A,"&gt;="&amp;기준일자_시작일,회계장부!A:A,"&lt;="&amp;기준일자_종료일)</f>
        <v>0</v>
      </c>
      <c r="D7" s="262"/>
      <c r="E7" s="154" t="str">
        <f t="shared" si="0"/>
        <v/>
      </c>
      <c r="F7" s="97" t="str">
        <f t="shared" si="1"/>
        <v>임원식사</v>
      </c>
      <c r="G7" s="96">
        <f>IF(ISBLANK(F7),"",SUMIFS(지출,항목,F7,회계장부!A:A,"&gt;="&amp;기준일자_시작일,회계장부!A:A,"&lt;="&amp;기준일자_종료일))</f>
        <v>0</v>
      </c>
      <c r="H7" s="158" t="str">
        <f ca="1">IF(LEN(E7)&gt;0,SUM(OFFSET(G7,,,INDEX(회계코드!$A$21:$L$21,,MATCH(E7,회계코드!$A$12:$L$12,0)),1)),"")</f>
        <v/>
      </c>
    </row>
    <row r="8" spans="1:11" ht="24.95" customHeight="1" x14ac:dyDescent="0.3">
      <c r="A8" s="263" t="s">
        <v>160</v>
      </c>
      <c r="B8" s="68" t="s">
        <v>146</v>
      </c>
      <c r="C8" s="61">
        <f>SUMIFS(수입,항목,B8,회계장부!A:A,"&gt;="&amp;기준일자_시작일,회계장부!A:A,"&lt;="&amp;기준일자_종료일)</f>
        <v>0</v>
      </c>
      <c r="D8" s="266">
        <f>SUM(C8:C11)</f>
        <v>0</v>
      </c>
      <c r="E8" s="154" t="str">
        <f t="shared" si="0"/>
        <v>여름수련회</v>
      </c>
      <c r="F8" s="97" t="str">
        <f t="shared" si="1"/>
        <v>여름수련회</v>
      </c>
      <c r="G8" s="96">
        <f>IF(ISBLANK(F8),"",SUMIFS(지출,항목,F8,회계장부!A:A,"&gt;="&amp;기준일자_시작일,회계장부!A:A,"&lt;="&amp;기준일자_종료일))</f>
        <v>0</v>
      </c>
      <c r="H8" s="158">
        <f ca="1">IF(LEN(E8)&gt;0,SUM(OFFSET(G8,,,INDEX(회계코드!$A$21:$L$21,,MATCH(E8,회계코드!$A$12:$L$12,0)),1)),"")</f>
        <v>0</v>
      </c>
    </row>
    <row r="9" spans="1:11" ht="24.95" customHeight="1" x14ac:dyDescent="0.3">
      <c r="A9" s="264"/>
      <c r="B9" s="69" t="s">
        <v>147</v>
      </c>
      <c r="C9" s="61">
        <f>SUMIFS(수입,항목,B9,회계장부!A:A,"&gt;="&amp;기준일자_시작일,회계장부!A:A,"&lt;="&amp;기준일자_종료일)</f>
        <v>0</v>
      </c>
      <c r="D9" s="267"/>
      <c r="E9" s="154" t="str">
        <f t="shared" si="0"/>
        <v>찬양축제/신년기도회</v>
      </c>
      <c r="F9" s="97" t="str">
        <f t="shared" si="1"/>
        <v>찬양축제</v>
      </c>
      <c r="G9" s="96">
        <f>IF(ISBLANK(F9),"",SUMIFS(지출,항목,F9,회계장부!A:A,"&gt;="&amp;기준일자_시작일,회계장부!A:A,"&lt;="&amp;기준일자_종료일))</f>
        <v>0</v>
      </c>
      <c r="H9" s="158">
        <f ca="1">IF(LEN(E9)&gt;0,SUM(OFFSET(G9,,,INDEX(회계코드!$A$21:$L$21,,MATCH(E9,회계코드!$A$12:$L$12,0)),1)),"")</f>
        <v>0</v>
      </c>
    </row>
    <row r="10" spans="1:11" ht="24.95" customHeight="1" x14ac:dyDescent="0.3">
      <c r="A10" s="264"/>
      <c r="B10" s="69" t="s">
        <v>148</v>
      </c>
      <c r="C10" s="61">
        <f>SUMIFS(수입,항목,B10,회계장부!A:A,"&gt;="&amp;기준일자_시작일,회계장부!A:A,"&lt;="&amp;기준일자_종료일)</f>
        <v>0</v>
      </c>
      <c r="D10" s="267"/>
      <c r="E10" s="154" t="str">
        <f t="shared" si="0"/>
        <v/>
      </c>
      <c r="F10" s="97" t="str">
        <f t="shared" si="1"/>
        <v>신년기도회</v>
      </c>
      <c r="G10" s="96">
        <f>IF(ISBLANK(F10),"",SUMIFS(지출,항목,F10,회계장부!A:A,"&gt;="&amp;기준일자_시작일,회계장부!A:A,"&lt;="&amp;기준일자_종료일))</f>
        <v>0</v>
      </c>
      <c r="H10" s="158" t="str">
        <f ca="1">IF(LEN(E10)&gt;0,SUM(OFFSET(G10,,,INDEX(회계코드!$A$21:$L$21,,MATCH(E10,회계코드!$A$12:$L$12,0)),1)),"")</f>
        <v/>
      </c>
    </row>
    <row r="11" spans="1:11" ht="24.95" customHeight="1" x14ac:dyDescent="0.3">
      <c r="A11" s="265"/>
      <c r="B11" s="69" t="s">
        <v>152</v>
      </c>
      <c r="C11" s="61">
        <f>SUMIFS(수입,항목,B11,회계장부!A:A,"&gt;="&amp;기준일자_시작일,회계장부!A:A,"&lt;="&amp;기준일자_종료일)</f>
        <v>0</v>
      </c>
      <c r="D11" s="267"/>
      <c r="E11" s="154" t="str">
        <f t="shared" si="0"/>
        <v>새가족환영회</v>
      </c>
      <c r="F11" s="97" t="str">
        <f t="shared" si="1"/>
        <v>새가족환영회</v>
      </c>
      <c r="G11" s="96">
        <f>IF(ISBLANK(F11),"",SUMIFS(지출,항목,F11,회계장부!A:A,"&gt;="&amp;기준일자_시작일,회계장부!A:A,"&lt;="&amp;기준일자_종료일))</f>
        <v>0</v>
      </c>
      <c r="H11" s="158">
        <f ca="1">IF(LEN(E11)&gt;0,SUM(OFFSET(G11,,,INDEX(회계코드!$A$21:$L$21,,MATCH(E11,회계코드!$A$12:$L$12,0)),1)),"")</f>
        <v>0</v>
      </c>
    </row>
    <row r="12" spans="1:11" ht="24.95" customHeight="1" x14ac:dyDescent="0.3">
      <c r="A12" s="263" t="s">
        <v>129</v>
      </c>
      <c r="B12" s="69" t="s">
        <v>149</v>
      </c>
      <c r="C12" s="61">
        <f>SUMIFS(수입,항목,B12,회계장부!A:A,"&gt;="&amp;기준일자_시작일,회계장부!A:A,"&lt;="&amp;기준일자_종료일)</f>
        <v>0</v>
      </c>
      <c r="D12" s="266">
        <f>SUM(C12:C14)</f>
        <v>0</v>
      </c>
      <c r="E12" s="154" t="str">
        <f t="shared" si="0"/>
        <v>시상/선물</v>
      </c>
      <c r="F12" s="97" t="str">
        <f t="shared" si="1"/>
        <v>시상/선물</v>
      </c>
      <c r="G12" s="96">
        <f>IF(ISBLANK(F12),"",SUMIFS(지출,항목,F12,회계장부!A:A,"&gt;="&amp;기준일자_시작일,회계장부!A:A,"&lt;="&amp;기준일자_종료일))</f>
        <v>0</v>
      </c>
      <c r="H12" s="158">
        <f ca="1">IF(LEN(E12)&gt;0,SUM(OFFSET(G12,,,INDEX(회계코드!$A$21:$L$21,,MATCH(E12,회계코드!$A$12:$L$12,0)),1)),"")</f>
        <v>0</v>
      </c>
    </row>
    <row r="13" spans="1:11" ht="24.95" customHeight="1" x14ac:dyDescent="0.3">
      <c r="A13" s="264"/>
      <c r="B13" s="68" t="s">
        <v>150</v>
      </c>
      <c r="C13" s="61">
        <f>SUMIFS(수입,항목,B13,회계장부!A:A,"&gt;="&amp;기준일자_시작일,회계장부!A:A,"&lt;="&amp;기준일자_종료일)</f>
        <v>0</v>
      </c>
      <c r="D13" s="267"/>
      <c r="E13" s="154" t="str">
        <f t="shared" si="0"/>
        <v>심방비</v>
      </c>
      <c r="F13" s="97" t="str">
        <f t="shared" si="1"/>
        <v>병문안</v>
      </c>
      <c r="G13" s="96">
        <f>IF(ISBLANK(F13),"",SUMIFS(지출,항목,F13,회계장부!A:A,"&gt;="&amp;기준일자_시작일,회계장부!A:A,"&lt;="&amp;기준일자_종료일))</f>
        <v>0</v>
      </c>
      <c r="H13" s="158">
        <f ca="1">IF(LEN(E13)&gt;0,SUM(OFFSET(G13,,,INDEX(회계코드!$A$21:$L$21,,MATCH(E13,회계코드!$A$12:$L$12,0)),1)),"")</f>
        <v>0</v>
      </c>
    </row>
    <row r="14" spans="1:11" ht="24.95" customHeight="1" x14ac:dyDescent="0.3">
      <c r="A14" s="265"/>
      <c r="B14" s="68" t="s">
        <v>151</v>
      </c>
      <c r="C14" s="61">
        <f>SUMIFS(수입,항목,B14,회계장부!A:A,"&gt;="&amp;기준일자_시작일,회계장부!A:A,"&lt;="&amp;기준일자_종료일)</f>
        <v>0</v>
      </c>
      <c r="D14" s="261"/>
      <c r="E14" s="154" t="str">
        <f t="shared" si="0"/>
        <v/>
      </c>
      <c r="F14" s="97" t="str">
        <f t="shared" si="1"/>
        <v>경조사비</v>
      </c>
      <c r="G14" s="96">
        <f>IF(ISBLANK(F14),"",SUMIFS(지출,항목,F14,회계장부!A:A,"&gt;="&amp;기준일자_시작일,회계장부!A:A,"&lt;="&amp;기준일자_종료일))</f>
        <v>0</v>
      </c>
      <c r="H14" s="158" t="str">
        <f ca="1">IF(LEN(E14)&gt;0,SUM(OFFSET(G14,,,INDEX(회계코드!$A$21:$L$21,,MATCH(E14,회계코드!$A$12:$L$12,0)),1)),"")</f>
        <v/>
      </c>
    </row>
    <row r="15" spans="1:11" ht="24.95" customHeight="1" x14ac:dyDescent="0.3">
      <c r="A15" s="129"/>
      <c r="B15" s="68"/>
      <c r="C15" s="62"/>
      <c r="D15" s="99"/>
      <c r="E15" s="154" t="str">
        <f t="shared" si="0"/>
        <v>한마음체육대회</v>
      </c>
      <c r="F15" s="97" t="str">
        <f t="shared" si="1"/>
        <v>한마음체육대회</v>
      </c>
      <c r="G15" s="96">
        <f>IF(ISBLANK(F15),"",SUMIFS(지출,항목,F15,회계장부!A:A,"&gt;="&amp;기준일자_시작일,회계장부!A:A,"&lt;="&amp;기준일자_종료일))</f>
        <v>0</v>
      </c>
      <c r="H15" s="158">
        <f ca="1">IF(LEN(E15)&gt;0,SUM(OFFSET(G15,,,INDEX(회계코드!$A$21:$L$21,,MATCH(E15,회계코드!$A$12:$L$12,0)),1)),"")</f>
        <v>0</v>
      </c>
    </row>
    <row r="16" spans="1:11" ht="24.95" customHeight="1" x14ac:dyDescent="0.3">
      <c r="A16" s="129"/>
      <c r="B16" s="70"/>
      <c r="C16" s="62"/>
      <c r="D16" s="99"/>
      <c r="E16" s="154" t="str">
        <f t="shared" si="0"/>
        <v>육아부 경비</v>
      </c>
      <c r="F16" s="97" t="str">
        <f t="shared" si="1"/>
        <v>육아부 경비</v>
      </c>
      <c r="G16" s="96">
        <f>IF(ISBLANK(F16),"",SUMIFS(지출,항목,F16,회계장부!A:A,"&gt;="&amp;기준일자_시작일,회계장부!A:A,"&lt;="&amp;기준일자_종료일))</f>
        <v>0</v>
      </c>
      <c r="H16" s="158">
        <f ca="1">IF(LEN(E16)&gt;0,SUM(OFFSET(G16,,,INDEX(회계코드!$A$21:$L$21,,MATCH(E16,회계코드!$A$12:$L$12,0)),1)),"")</f>
        <v>0</v>
      </c>
    </row>
    <row r="17" spans="1:8" ht="24.95" customHeight="1" x14ac:dyDescent="0.3">
      <c r="A17" s="129"/>
      <c r="B17" s="70"/>
      <c r="C17" s="62"/>
      <c r="D17" s="99"/>
      <c r="E17" s="154" t="str">
        <f t="shared" si="0"/>
        <v>특강/도서구입비</v>
      </c>
      <c r="F17" s="97" t="str">
        <f t="shared" si="1"/>
        <v>특강비</v>
      </c>
      <c r="G17" s="96">
        <f>IF(ISBLANK(F17),"",SUMIFS(지출,항목,F17,회계장부!A:A,"&gt;="&amp;기준일자_시작일,회계장부!A:A,"&lt;="&amp;기준일자_종료일))</f>
        <v>0</v>
      </c>
      <c r="H17" s="158">
        <f ca="1">IF(LEN(E17)&gt;0,SUM(OFFSET(G17,,,INDEX(회계코드!$A$21:$L$21,,MATCH(E17,회계코드!$A$12:$L$12,0)),1)),"")</f>
        <v>0</v>
      </c>
    </row>
    <row r="18" spans="1:8" ht="24.95" customHeight="1" x14ac:dyDescent="0.3">
      <c r="A18" s="129"/>
      <c r="B18" s="70"/>
      <c r="C18" s="62"/>
      <c r="D18" s="99"/>
      <c r="E18" s="154" t="str">
        <f t="shared" si="0"/>
        <v/>
      </c>
      <c r="F18" s="97" t="str">
        <f t="shared" si="1"/>
        <v>도서구입비</v>
      </c>
      <c r="G18" s="96">
        <f>IF(ISBLANK(F18),"",SUMIFS(지출,항목,F18,회계장부!A:A,"&gt;="&amp;기준일자_시작일,회계장부!A:A,"&lt;="&amp;기준일자_종료일))</f>
        <v>0</v>
      </c>
      <c r="H18" s="158" t="str">
        <f ca="1">IF(LEN(E18)&gt;0,SUM(OFFSET(G18,,,INDEX(회계코드!$A$21:$L$21,,MATCH(E18,회계코드!$A$12:$L$12,0)),1)),"")</f>
        <v/>
      </c>
    </row>
    <row r="19" spans="1:8" ht="24.95" customHeight="1" x14ac:dyDescent="0.3">
      <c r="A19" s="129"/>
      <c r="B19" s="70"/>
      <c r="C19" s="62"/>
      <c r="D19" s="99"/>
      <c r="E19" s="154" t="str">
        <f t="shared" si="0"/>
        <v>요람/현수막제작비</v>
      </c>
      <c r="F19" s="97" t="str">
        <f t="shared" si="1"/>
        <v>요람제작비</v>
      </c>
      <c r="G19" s="96">
        <f>IF(ISBLANK(F19),"",SUMIFS(지출,항목,F19,회계장부!A:A,"&gt;="&amp;기준일자_시작일,회계장부!A:A,"&lt;="&amp;기준일자_종료일))</f>
        <v>0</v>
      </c>
      <c r="H19" s="158">
        <f ca="1">IF(LEN(E19)&gt;0,SUM(OFFSET(G19,,,INDEX(회계코드!$A$21:$L$21,,MATCH(E19,회계코드!$A$12:$L$12,0)),1)),"")</f>
        <v>0</v>
      </c>
    </row>
    <row r="20" spans="1:8" ht="24.95" customHeight="1" x14ac:dyDescent="0.3">
      <c r="A20" s="129"/>
      <c r="B20" s="70"/>
      <c r="C20" s="62"/>
      <c r="D20" s="99"/>
      <c r="E20" s="154" t="str">
        <f t="shared" si="0"/>
        <v/>
      </c>
      <c r="F20" s="97" t="str">
        <f t="shared" si="1"/>
        <v>현수막제작비</v>
      </c>
      <c r="G20" s="96">
        <f>IF(ISBLANK(F20),"",SUMIFS(지출,항목,F20,회계장부!A:A,"&gt;="&amp;기준일자_시작일,회계장부!A:A,"&lt;="&amp;기준일자_종료일))</f>
        <v>0</v>
      </c>
      <c r="H20" s="158" t="str">
        <f ca="1">IF(LEN(E20)&gt;0,SUM(OFFSET(G20,,,INDEX(회계코드!$A$21:$L$21,,MATCH(E20,회계코드!$A$12:$L$12,0)),1)),"")</f>
        <v/>
      </c>
    </row>
    <row r="21" spans="1:8" ht="24.95" customHeight="1" x14ac:dyDescent="0.3">
      <c r="A21" s="129"/>
      <c r="B21" s="70"/>
      <c r="C21" s="62"/>
      <c r="D21" s="99"/>
      <c r="E21" s="154" t="str">
        <f t="shared" si="0"/>
        <v>기타지출</v>
      </c>
      <c r="F21" s="97" t="str">
        <f t="shared" si="1"/>
        <v>잡화구입비</v>
      </c>
      <c r="G21" s="96">
        <f>IF(ISBLANK(F21),"",SUMIFS(지출,항목,F21,회계장부!A:A,"&gt;="&amp;기준일자_시작일,회계장부!A:A,"&lt;="&amp;기준일자_종료일))</f>
        <v>0</v>
      </c>
      <c r="H21" s="158">
        <f ca="1">IF(LEN(E21)&gt;0,SUM(OFFSET(G21,,,INDEX(회계코드!$A$21:$L$21,,MATCH(E21,회계코드!$A$12:$L$12,0)),1)),"")</f>
        <v>0</v>
      </c>
    </row>
    <row r="22" spans="1:8" ht="24.95" customHeight="1" x14ac:dyDescent="0.3">
      <c r="A22" s="129"/>
      <c r="B22" s="70"/>
      <c r="C22" s="62"/>
      <c r="D22" s="99"/>
      <c r="E22" s="154" t="str">
        <f t="shared" si="0"/>
        <v/>
      </c>
      <c r="F22" s="97" t="str">
        <f t="shared" si="1"/>
        <v>비품구입비</v>
      </c>
      <c r="G22" s="96">
        <f>IF(ISBLANK(F22),"",SUMIFS(지출,항목,F22,회계장부!A:A,"&gt;="&amp;기준일자_시작일,회계장부!A:A,"&lt;="&amp;기준일자_종료일))</f>
        <v>0</v>
      </c>
      <c r="H22" s="158" t="str">
        <f ca="1">IF(LEN(E22)&gt;0,SUM(OFFSET(G22,,,INDEX(회계코드!$A$21:$L$21,,MATCH(E22,회계코드!$A$12:$L$12,0)),1)),"")</f>
        <v/>
      </c>
    </row>
    <row r="23" spans="1:8" ht="24.95" customHeight="1" x14ac:dyDescent="0.3">
      <c r="A23" s="129"/>
      <c r="B23" s="70"/>
      <c r="C23" s="62"/>
      <c r="D23" s="99"/>
      <c r="E23" s="154" t="str">
        <f t="shared" si="0"/>
        <v/>
      </c>
      <c r="F23" s="97" t="str">
        <f t="shared" si="1"/>
        <v>기타</v>
      </c>
      <c r="G23" s="96">
        <f>IF(ISBLANK(F23),"",SUMIFS(지출,항목,F23,회계장부!A:A,"&gt;="&amp;기준일자_시작일,회계장부!A:A,"&lt;="&amp;기준일자_종료일))</f>
        <v>0</v>
      </c>
      <c r="H23" s="158" t="str">
        <f ca="1">IF(LEN(E23)&gt;0,SUM(OFFSET(G23,,,INDEX(회계코드!$A$21:$L$21,,MATCH(E23,회계코드!$A$12:$L$12,0)),1)),"")</f>
        <v/>
      </c>
    </row>
    <row r="24" spans="1:8" ht="24.95" customHeight="1" x14ac:dyDescent="0.3">
      <c r="A24" s="129"/>
      <c r="B24" s="70"/>
      <c r="C24" s="62"/>
      <c r="D24" s="99"/>
      <c r="E24" s="154" t="str">
        <f t="shared" si="0"/>
        <v/>
      </c>
      <c r="F24" s="97" t="str">
        <f t="shared" si="1"/>
        <v/>
      </c>
      <c r="G24" s="96">
        <f>IF(ISBLANK(F24),"",SUMIFS(지출,항목,F24,회계장부!A:A,"&gt;="&amp;기준일자_시작일,회계장부!A:A,"&lt;="&amp;기준일자_종료일))</f>
        <v>0</v>
      </c>
      <c r="H24" s="158" t="str">
        <f ca="1">IF(LEN(E24)&gt;0,SUM(OFFSET(G24,,,INDEX(회계코드!$A$21:$L$21,,MATCH(E24,회계코드!$A$12:$L$12,0)),1)),"")</f>
        <v/>
      </c>
    </row>
    <row r="25" spans="1:8" ht="24.95" customHeight="1" x14ac:dyDescent="0.3">
      <c r="A25" s="129"/>
      <c r="B25" s="70"/>
      <c r="C25" s="62"/>
      <c r="D25" s="99"/>
      <c r="E25" s="154" t="str">
        <f t="shared" si="0"/>
        <v/>
      </c>
      <c r="F25" s="97" t="str">
        <f t="shared" si="1"/>
        <v/>
      </c>
      <c r="G25" s="96">
        <f>IF(ISBLANK(F25),"",SUMIFS(지출,항목,F25,회계장부!A:A,"&gt;="&amp;기준일자_시작일,회계장부!A:A,"&lt;="&amp;기준일자_종료일))</f>
        <v>0</v>
      </c>
      <c r="H25" s="158" t="str">
        <f ca="1">IF(LEN(E25)&gt;0,SUM(OFFSET(G25,,,INDEX(회계코드!$A$21:$L$21,,MATCH(E25,회계코드!$A$12:$L$12,0)),1)),"")</f>
        <v/>
      </c>
    </row>
    <row r="26" spans="1:8" ht="24.95" customHeight="1" x14ac:dyDescent="0.3">
      <c r="A26" s="129"/>
      <c r="B26" s="70"/>
      <c r="C26" s="62"/>
      <c r="D26" s="99"/>
      <c r="E26" s="154" t="str">
        <f t="shared" si="0"/>
        <v/>
      </c>
      <c r="F26" s="97" t="str">
        <f t="shared" si="1"/>
        <v/>
      </c>
      <c r="G26" s="96">
        <f>IF(ISBLANK(F26),"",SUMIFS(지출,항목,F26,회계장부!A:A,"&gt;="&amp;기준일자_시작일,회계장부!A:A,"&lt;="&amp;기준일자_종료일))</f>
        <v>0</v>
      </c>
      <c r="H26" s="158" t="str">
        <f ca="1">IF(LEN(E26)&gt;0,SUM(OFFSET(G26,,,INDEX(회계코드!$A$21:$L$21,,MATCH(E26,회계코드!$A$12:$L$12,0)),1)),"")</f>
        <v/>
      </c>
    </row>
    <row r="27" spans="1:8" ht="24.95" customHeight="1" x14ac:dyDescent="0.3">
      <c r="A27" s="129"/>
      <c r="B27" s="70"/>
      <c r="C27" s="62"/>
      <c r="D27" s="99"/>
      <c r="E27" s="154" t="str">
        <f t="shared" si="0"/>
        <v/>
      </c>
      <c r="F27" s="97" t="str">
        <f t="shared" si="1"/>
        <v/>
      </c>
      <c r="G27" s="96">
        <f>IF(ISBLANK(F27),"",SUMIFS(지출,항목,F27,회계장부!A:A,"&gt;="&amp;기준일자_시작일,회계장부!A:A,"&lt;="&amp;기준일자_종료일))</f>
        <v>0</v>
      </c>
      <c r="H27" s="158" t="str">
        <f ca="1">IF(LEN(E27)&gt;0,SUM(OFFSET(G27,,,INDEX(회계코드!$A$21:$L$21,,MATCH(E27,회계코드!$A$12:$L$12,0)),1)),"")</f>
        <v/>
      </c>
    </row>
    <row r="28" spans="1:8" ht="24.95" customHeight="1" x14ac:dyDescent="0.3">
      <c r="A28" s="129"/>
      <c r="B28" s="70"/>
      <c r="C28" s="62"/>
      <c r="D28" s="99"/>
      <c r="E28" s="154" t="str">
        <f t="shared" si="0"/>
        <v/>
      </c>
      <c r="F28" s="97" t="str">
        <f t="shared" si="1"/>
        <v/>
      </c>
      <c r="G28" s="96">
        <f>IF(ISBLANK(F28),"",SUMIFS(지출,항목,F28,회계장부!A:A,"&gt;="&amp;기준일자_시작일,회계장부!A:A,"&lt;="&amp;기준일자_종료일))</f>
        <v>0</v>
      </c>
      <c r="H28" s="158" t="str">
        <f ca="1">IF(LEN(E28)&gt;0,SUM(OFFSET(G28,,,INDEX(회계코드!$A$21:$L$21,,MATCH(E28,회계코드!$A$12:$L$12,0)),1)),"")</f>
        <v/>
      </c>
    </row>
    <row r="29" spans="1:8" ht="24.95" customHeight="1" x14ac:dyDescent="0.3">
      <c r="A29" s="129"/>
      <c r="B29" s="70"/>
      <c r="C29" s="62"/>
      <c r="D29" s="99"/>
      <c r="E29" s="154" t="str">
        <f t="shared" si="0"/>
        <v/>
      </c>
      <c r="F29" s="97" t="str">
        <f t="shared" si="1"/>
        <v/>
      </c>
      <c r="G29" s="96">
        <f>IF(ISBLANK(F29),"",SUMIFS(지출,항목,F29,회계장부!A:A,"&gt;="&amp;기준일자_시작일,회계장부!A:A,"&lt;="&amp;기준일자_종료일))</f>
        <v>0</v>
      </c>
      <c r="H29" s="158" t="str">
        <f ca="1">IF(LEN(E29)&gt;0,SUM(OFFSET(G29,,,INDEX(회계코드!$A$21:$L$21,,MATCH(E29,회계코드!$A$12:$L$12,0)),1)),"")</f>
        <v/>
      </c>
    </row>
    <row r="30" spans="1:8" ht="24.95" customHeight="1" x14ac:dyDescent="0.3">
      <c r="A30" s="129"/>
      <c r="B30" s="70"/>
      <c r="C30" s="62"/>
      <c r="D30" s="99"/>
      <c r="E30" s="154" t="str">
        <f t="shared" si="0"/>
        <v/>
      </c>
      <c r="F30" s="97" t="str">
        <f t="shared" si="1"/>
        <v/>
      </c>
      <c r="G30" s="96">
        <f>IF(ISBLANK(F30),"",SUMIFS(지출,항목,F30,회계장부!A:A,"&gt;="&amp;기준일자_시작일,회계장부!A:A,"&lt;="&amp;기준일자_종료일))</f>
        <v>0</v>
      </c>
      <c r="H30" s="158" t="str">
        <f ca="1">IF(LEN(E30)&gt;0,SUM(OFFSET(G30,,,INDEX(회계코드!$A$21:$L$21,,MATCH(E30,회계코드!$A$12:$L$12,0)),1)),"")</f>
        <v/>
      </c>
    </row>
    <row r="31" spans="1:8" ht="24.95" customHeight="1" x14ac:dyDescent="0.3">
      <c r="A31" s="129"/>
      <c r="B31" s="70"/>
      <c r="C31" s="62"/>
      <c r="D31" s="99"/>
      <c r="E31" s="154" t="str">
        <f t="shared" si="0"/>
        <v/>
      </c>
      <c r="F31" s="97" t="str">
        <f t="shared" si="1"/>
        <v/>
      </c>
      <c r="G31" s="96">
        <f>IF(ISBLANK(F31),"",SUMIFS(지출,항목,F31,회계장부!A:A,"&gt;="&amp;기준일자_시작일,회계장부!A:A,"&lt;="&amp;기준일자_종료일))</f>
        <v>0</v>
      </c>
      <c r="H31" s="158" t="str">
        <f ca="1">IF(LEN(E31)&gt;0,SUM(OFFSET(G31,,,INDEX(회계코드!$A$21:$L$21,,MATCH(E31,회계코드!$A$12:$L$12,0)),1)),"")</f>
        <v/>
      </c>
    </row>
    <row r="32" spans="1:8" ht="24.95" customHeight="1" x14ac:dyDescent="0.3">
      <c r="A32" s="129"/>
      <c r="B32" s="70"/>
      <c r="C32" s="62"/>
      <c r="D32" s="99"/>
      <c r="E32" s="154" t="str">
        <f t="shared" si="0"/>
        <v/>
      </c>
      <c r="F32" s="97" t="str">
        <f t="shared" si="1"/>
        <v/>
      </c>
      <c r="G32" s="96">
        <f>IF(ISBLANK(F32),"",SUMIFS(지출,항목,F32,회계장부!A:A,"&gt;="&amp;기준일자_시작일,회계장부!A:A,"&lt;="&amp;기준일자_종료일))</f>
        <v>0</v>
      </c>
      <c r="H32" s="158" t="str">
        <f ca="1">IF(LEN(E32)&gt;0,SUM(OFFSET(G32,,,INDEX(회계코드!$A$21:$L$21,,MATCH(E32,회계코드!$A$12:$L$12,0)),1)),"")</f>
        <v/>
      </c>
    </row>
    <row r="33" spans="1:8" ht="24.95" customHeight="1" thickBot="1" x14ac:dyDescent="0.35">
      <c r="A33" s="129"/>
      <c r="B33" s="70"/>
      <c r="C33" s="62"/>
      <c r="D33" s="99"/>
      <c r="E33" s="155" t="str">
        <f t="shared" si="0"/>
        <v/>
      </c>
      <c r="F33" s="97" t="str">
        <f t="shared" si="1"/>
        <v/>
      </c>
      <c r="G33" s="96">
        <f>IF(ISBLANK(F33),"",SUMIFS(지출,항목,F33,회계장부!A:A,"&gt;="&amp;기준일자_시작일,회계장부!A:A,"&lt;="&amp;기준일자_종료일))</f>
        <v>0</v>
      </c>
      <c r="H33" s="159" t="str">
        <f ca="1">IF(LEN(E33)&gt;0,SUM(OFFSET(G33,,,INDEX(회계코드!$A$21:$L$21,,MATCH(E33,회계코드!$A$12:$L$12,0)),1)),"")</f>
        <v/>
      </c>
    </row>
    <row r="34" spans="1:8" ht="24.95" customHeight="1" thickTop="1" thickBot="1" x14ac:dyDescent="0.35">
      <c r="A34" s="257" t="s">
        <v>141</v>
      </c>
      <c r="B34" s="257"/>
      <c r="C34" s="258"/>
      <c r="D34" s="63">
        <f>SUM(D6:D33)</f>
        <v>0</v>
      </c>
      <c r="E34" s="249" t="s">
        <v>142</v>
      </c>
      <c r="F34" s="250"/>
      <c r="G34" s="251"/>
      <c r="H34" s="64">
        <f ca="1">SUM(H6:H33)</f>
        <v>0</v>
      </c>
    </row>
    <row r="35" spans="1:8" ht="24.95" customHeight="1" thickTop="1" thickBot="1" x14ac:dyDescent="0.35">
      <c r="A35" s="257" t="s">
        <v>143</v>
      </c>
      <c r="B35" s="257"/>
      <c r="C35" s="258"/>
      <c r="D35" s="63">
        <f>SUMIFS(수입,회계월,"&lt;"&amp;MONTH(기준일자_시작일))-SUMIFS(수입,회계월,"&lt;"&amp;MONTH(기준일자_시작일),관,"전년도이월금")</f>
        <v>0</v>
      </c>
      <c r="E35" s="249" t="s">
        <v>144</v>
      </c>
      <c r="F35" s="250"/>
      <c r="G35" s="251"/>
      <c r="H35" s="64">
        <f>SUMIFS(지출,회계월,"&lt;"&amp;MONTH(기준일자_시작일))</f>
        <v>0</v>
      </c>
    </row>
    <row r="36" spans="1:8" ht="24.95" customHeight="1" thickTop="1" thickBot="1" x14ac:dyDescent="0.35">
      <c r="A36" s="252" t="s">
        <v>9</v>
      </c>
      <c r="B36" s="252"/>
      <c r="C36" s="253"/>
      <c r="D36" s="65">
        <f>SUMIFS(수입,관,"전년도이월금")</f>
        <v>1500000</v>
      </c>
      <c r="E36" s="254" t="s">
        <v>42</v>
      </c>
      <c r="F36" s="255"/>
      <c r="G36" s="256"/>
      <c r="H36" s="71">
        <f ca="1">SUM(D34:D36)-SUM(H34:H35)</f>
        <v>1500000</v>
      </c>
    </row>
  </sheetData>
  <sheetProtection algorithmName="SHA-512" hashValue="UlifibU1QcFYkX/JBourCqR6QoM80C7IfloXEqBXPW8hXTxnBbZG6brup/V1zvcNbRJtY997n7LmLHgQL1PzjA==" saltValue="xbHbWXSQmJXV1LnGpsa0zg==" spinCount="100000" sheet="1" objects="1" scenarios="1"/>
  <mergeCells count="19">
    <mergeCell ref="A6:A7"/>
    <mergeCell ref="D6:D7"/>
    <mergeCell ref="A8:A11"/>
    <mergeCell ref="D8:D11"/>
    <mergeCell ref="A35:C35"/>
    <mergeCell ref="A12:A14"/>
    <mergeCell ref="D12:D14"/>
    <mergeCell ref="E35:G35"/>
    <mergeCell ref="A36:C36"/>
    <mergeCell ref="E36:G36"/>
    <mergeCell ref="A34:C34"/>
    <mergeCell ref="E34:G34"/>
    <mergeCell ref="A1:H1"/>
    <mergeCell ref="A2:H2"/>
    <mergeCell ref="A4:D4"/>
    <mergeCell ref="E4:H4"/>
    <mergeCell ref="C5:D5"/>
    <mergeCell ref="G5:H5"/>
    <mergeCell ref="A3:H3"/>
  </mergeCells>
  <phoneticPr fontId="2" type="noConversion"/>
  <conditionalFormatting sqref="A1:H1">
    <cfRule type="cellIs" dxfId="8" priority="5" operator="notEqual">
      <formula>"회계 보고서"</formula>
    </cfRule>
  </conditionalFormatting>
  <conditionalFormatting sqref="E6:E32">
    <cfRule type="expression" dxfId="7" priority="4">
      <formula>LEN($E7)&gt;0</formula>
    </cfRule>
  </conditionalFormatting>
  <conditionalFormatting sqref="H6:H32">
    <cfRule type="expression" dxfId="6" priority="3">
      <formula>LEN($E7)&gt;0</formula>
    </cfRule>
  </conditionalFormatting>
  <conditionalFormatting sqref="E6:H33">
    <cfRule type="expression" dxfId="4" priority="2">
      <formula>AND(LEN($E6)=0,LEN($F6)=0)</formula>
    </cfRule>
  </conditionalFormatting>
  <conditionalFormatting sqref="A3:H3">
    <cfRule type="expression" dxfId="2" priority="1">
      <formula>LEN(부서명)=0</formula>
    </cfRule>
  </conditionalFormatting>
  <pageMargins left="0.7" right="0.7" top="0.75" bottom="0.75" header="0.3" footer="0.3"/>
  <pageSetup paperSize="9" scale="78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9"/>
  <sheetViews>
    <sheetView workbookViewId="0">
      <selection activeCell="M21" sqref="M21"/>
    </sheetView>
  </sheetViews>
  <sheetFormatPr defaultRowHeight="13.5" x14ac:dyDescent="0.3"/>
  <cols>
    <col min="1" max="1" width="8.875" style="41" customWidth="1"/>
    <col min="2" max="8" width="14.875" style="41" customWidth="1"/>
    <col min="9" max="9" width="3.625" style="41" customWidth="1"/>
    <col min="10" max="10" width="9.625" style="41" customWidth="1"/>
    <col min="11" max="11" width="10.625" style="41" customWidth="1"/>
    <col min="12" max="13" width="14.875" style="41" customWidth="1"/>
    <col min="14" max="16384" width="9" style="41"/>
  </cols>
  <sheetData>
    <row r="1" spans="1:13" s="13" customFormat="1" ht="33.75" x14ac:dyDescent="0.3">
      <c r="A1" s="270" t="s">
        <v>131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13" customFormat="1" ht="6.7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17" customFormat="1" ht="24" customHeight="1" thickBot="1" x14ac:dyDescent="0.35">
      <c r="A3" s="15" t="s">
        <v>119</v>
      </c>
      <c r="B3" s="329" t="str">
        <f>IF(LEN(부서명)&gt;0,부서명,"회계코드 Sheet에서 부서명을 입력하세요.")</f>
        <v>회계코드 Sheet에서 부서명을 입력하세요.</v>
      </c>
      <c r="C3" s="329"/>
      <c r="D3" s="16"/>
      <c r="E3" s="16"/>
      <c r="F3" s="16"/>
      <c r="G3" s="16"/>
      <c r="H3" s="16"/>
      <c r="I3" s="16"/>
      <c r="J3" s="16"/>
      <c r="K3" s="16"/>
      <c r="M3" s="18" t="s">
        <v>120</v>
      </c>
    </row>
    <row r="4" spans="1:13" s="17" customFormat="1" ht="21" customHeight="1" x14ac:dyDescent="0.3">
      <c r="A4" s="271" t="s">
        <v>46</v>
      </c>
      <c r="B4" s="274" t="s">
        <v>47</v>
      </c>
      <c r="C4" s="275"/>
      <c r="D4" s="275"/>
      <c r="E4" s="275"/>
      <c r="F4" s="275"/>
      <c r="G4" s="275"/>
      <c r="H4" s="276"/>
      <c r="I4" s="277" t="s">
        <v>48</v>
      </c>
      <c r="J4" s="278"/>
      <c r="K4" s="278"/>
      <c r="L4" s="279"/>
      <c r="M4" s="280" t="s">
        <v>49</v>
      </c>
    </row>
    <row r="5" spans="1:13" s="17" customFormat="1" ht="21" customHeight="1" x14ac:dyDescent="0.3">
      <c r="A5" s="272"/>
      <c r="B5" s="283" t="s">
        <v>50</v>
      </c>
      <c r="C5" s="285" t="s">
        <v>51</v>
      </c>
      <c r="D5" s="286"/>
      <c r="E5" s="286"/>
      <c r="F5" s="286"/>
      <c r="G5" s="286"/>
      <c r="H5" s="287" t="s">
        <v>52</v>
      </c>
      <c r="I5" s="289" t="s">
        <v>53</v>
      </c>
      <c r="J5" s="286"/>
      <c r="K5" s="290"/>
      <c r="L5" s="294" t="s">
        <v>54</v>
      </c>
      <c r="M5" s="281"/>
    </row>
    <row r="6" spans="1:13" s="17" customFormat="1" ht="21" customHeight="1" x14ac:dyDescent="0.3">
      <c r="A6" s="273"/>
      <c r="B6" s="284"/>
      <c r="C6" s="19" t="s">
        <v>55</v>
      </c>
      <c r="D6" s="19" t="s">
        <v>56</v>
      </c>
      <c r="E6" s="19" t="s">
        <v>57</v>
      </c>
      <c r="F6" s="19" t="s">
        <v>58</v>
      </c>
      <c r="G6" s="20" t="s">
        <v>24</v>
      </c>
      <c r="H6" s="288"/>
      <c r="I6" s="291"/>
      <c r="J6" s="292"/>
      <c r="K6" s="293"/>
      <c r="L6" s="295"/>
      <c r="M6" s="282"/>
    </row>
    <row r="7" spans="1:13" s="17" customFormat="1" ht="33" customHeight="1" x14ac:dyDescent="0.3">
      <c r="A7" s="21" t="s">
        <v>59</v>
      </c>
      <c r="B7" s="22">
        <f>SUMIFS(수입,회계장부!I:I,"전년도이월금")</f>
        <v>1500000</v>
      </c>
      <c r="C7" s="298"/>
      <c r="D7" s="299"/>
      <c r="E7" s="299"/>
      <c r="F7" s="299"/>
      <c r="G7" s="299"/>
      <c r="H7" s="23">
        <f>B7</f>
        <v>1500000</v>
      </c>
      <c r="I7" s="24"/>
      <c r="J7" s="25"/>
      <c r="K7" s="299"/>
      <c r="L7" s="299"/>
      <c r="M7" s="300"/>
    </row>
    <row r="8" spans="1:13" s="29" customFormat="1" ht="24.75" customHeight="1" x14ac:dyDescent="0.3">
      <c r="A8" s="301" t="s">
        <v>60</v>
      </c>
      <c r="B8" s="303"/>
      <c r="C8" s="268">
        <f>SUMIFS(수입,항목,"교회지원금",회계월,"="&amp;LEFT(A8,LEN(A8)-1))</f>
        <v>0</v>
      </c>
      <c r="D8" s="268">
        <f>SUMIFS(수입,항목,"재배정금",회계월,"="&amp;LEFT(A8,LEN(A8)-1))</f>
        <v>0</v>
      </c>
      <c r="E8" s="268">
        <f>SUMIFS(수입,관,"헌금/회비",회계월,"="&amp;LEFT(A8,LEN(A8)-1))</f>
        <v>0</v>
      </c>
      <c r="F8" s="268">
        <f>SUMIFS(수입,회계월,"="&amp;LEFT(A8,LEN(A8)-1),회계장부!I:I,"&lt;&gt;"&amp;"전년도이월금")-SUM(C8:E8)</f>
        <v>0</v>
      </c>
      <c r="G8" s="268">
        <f>SUM(C8:F9)</f>
        <v>0</v>
      </c>
      <c r="H8" s="306">
        <f>G8</f>
        <v>0</v>
      </c>
      <c r="I8" s="26" t="s">
        <v>61</v>
      </c>
      <c r="J8" s="296" t="str">
        <f>IF(ISBLANK(회계코드!A12),"",회계코드!A12)</f>
        <v>간식/식대비</v>
      </c>
      <c r="K8" s="297"/>
      <c r="L8" s="27">
        <f>SUMIFS(지출,관,J8,회계월,"&lt;=6")</f>
        <v>0</v>
      </c>
      <c r="M8" s="28"/>
    </row>
    <row r="9" spans="1:13" s="29" customFormat="1" ht="24.75" customHeight="1" x14ac:dyDescent="0.3">
      <c r="A9" s="302"/>
      <c r="B9" s="304"/>
      <c r="C9" s="269"/>
      <c r="D9" s="269"/>
      <c r="E9" s="269"/>
      <c r="F9" s="269"/>
      <c r="G9" s="269"/>
      <c r="H9" s="307"/>
      <c r="I9" s="26" t="s">
        <v>62</v>
      </c>
      <c r="J9" s="296" t="str">
        <f>IF(ISBLANK(회계코드!B12),"",회계코드!B12)</f>
        <v>여름수련회</v>
      </c>
      <c r="K9" s="297"/>
      <c r="L9" s="27">
        <f t="shared" ref="L9:L19" si="0">SUMIFS(지출,관,J9,회계월,"&lt;=6")</f>
        <v>0</v>
      </c>
      <c r="M9" s="30"/>
    </row>
    <row r="10" spans="1:13" s="29" customFormat="1" ht="24.75" customHeight="1" x14ac:dyDescent="0.3">
      <c r="A10" s="301" t="s">
        <v>63</v>
      </c>
      <c r="B10" s="304"/>
      <c r="C10" s="268">
        <f>SUMIFS(수입,항목,"교회지원금",회계월,"="&amp;LEFT(A10,LEN(A10)-1))</f>
        <v>0</v>
      </c>
      <c r="D10" s="268">
        <f>SUMIFS(수입,항목,"재배정금",회계월,"="&amp;LEFT(A10,LEN(A10)-1))</f>
        <v>0</v>
      </c>
      <c r="E10" s="268">
        <f>SUMIFS(수입,관,"헌금/회비",회계월,"="&amp;LEFT(A10,LEN(A10)-1))</f>
        <v>0</v>
      </c>
      <c r="F10" s="268">
        <f>SUMIFS(수입,회계월,"="&amp;LEFT(A10,LEN(A10)-1),회계장부!I:I,"&lt;&gt;"&amp;"전년도이월금")-SUM(C10:E10)</f>
        <v>0</v>
      </c>
      <c r="G10" s="268">
        <f>SUM(C10:F11)</f>
        <v>0</v>
      </c>
      <c r="H10" s="306">
        <f>G10</f>
        <v>0</v>
      </c>
      <c r="I10" s="26" t="s">
        <v>64</v>
      </c>
      <c r="J10" s="296" t="str">
        <f>IF(ISBLANK(회계코드!C12),"",회계코드!C12)</f>
        <v>찬양축제/신년기도회</v>
      </c>
      <c r="K10" s="297"/>
      <c r="L10" s="27">
        <f t="shared" si="0"/>
        <v>0</v>
      </c>
      <c r="M10" s="30"/>
    </row>
    <row r="11" spans="1:13" s="29" customFormat="1" ht="24.75" customHeight="1" x14ac:dyDescent="0.3">
      <c r="A11" s="302"/>
      <c r="B11" s="304"/>
      <c r="C11" s="269"/>
      <c r="D11" s="269"/>
      <c r="E11" s="269"/>
      <c r="F11" s="269"/>
      <c r="G11" s="269"/>
      <c r="H11" s="307"/>
      <c r="I11" s="26" t="s">
        <v>65</v>
      </c>
      <c r="J11" s="296" t="str">
        <f>IF(ISBLANK(회계코드!D12),"",회계코드!D12)</f>
        <v>새가족환영회</v>
      </c>
      <c r="K11" s="297"/>
      <c r="L11" s="27">
        <f t="shared" si="0"/>
        <v>0</v>
      </c>
      <c r="M11" s="30"/>
    </row>
    <row r="12" spans="1:13" s="29" customFormat="1" ht="24.75" customHeight="1" x14ac:dyDescent="0.3">
      <c r="A12" s="308" t="s">
        <v>66</v>
      </c>
      <c r="B12" s="304"/>
      <c r="C12" s="268">
        <f>SUMIFS(수입,항목,"교회지원금",회계월,"="&amp;LEFT(A12,LEN(A12)-1))</f>
        <v>0</v>
      </c>
      <c r="D12" s="268">
        <f>SUMIFS(수입,항목,"재배정금",회계월,"="&amp;LEFT(A12,LEN(A12)-1))</f>
        <v>0</v>
      </c>
      <c r="E12" s="268">
        <f>SUMIFS(수입,관,"헌금/회비",회계월,"="&amp;LEFT(A12,LEN(A12)-1))</f>
        <v>0</v>
      </c>
      <c r="F12" s="268">
        <f>SUMIFS(수입,회계월,"="&amp;LEFT(A12,LEN(A12)-1),회계장부!I:I,"&lt;&gt;"&amp;"전년도이월금")-SUM(C12:E12)</f>
        <v>0</v>
      </c>
      <c r="G12" s="268">
        <f>SUM(C12:F13)</f>
        <v>0</v>
      </c>
      <c r="H12" s="306">
        <f>G12</f>
        <v>0</v>
      </c>
      <c r="I12" s="26" t="s">
        <v>67</v>
      </c>
      <c r="J12" s="296" t="str">
        <f>IF(ISBLANK(회계코드!E12),"",회계코드!E12)</f>
        <v>시상/선물</v>
      </c>
      <c r="K12" s="297"/>
      <c r="L12" s="27">
        <f t="shared" si="0"/>
        <v>0</v>
      </c>
      <c r="M12" s="30"/>
    </row>
    <row r="13" spans="1:13" s="29" customFormat="1" ht="24.75" customHeight="1" x14ac:dyDescent="0.3">
      <c r="A13" s="302"/>
      <c r="B13" s="304"/>
      <c r="C13" s="269"/>
      <c r="D13" s="269"/>
      <c r="E13" s="269"/>
      <c r="F13" s="269"/>
      <c r="G13" s="269"/>
      <c r="H13" s="307"/>
      <c r="I13" s="26" t="s">
        <v>68</v>
      </c>
      <c r="J13" s="296" t="str">
        <f>IF(ISBLANK(회계코드!F12),"",회계코드!F12)</f>
        <v>심방비</v>
      </c>
      <c r="K13" s="297"/>
      <c r="L13" s="27">
        <f t="shared" si="0"/>
        <v>0</v>
      </c>
      <c r="M13" s="30"/>
    </row>
    <row r="14" spans="1:13" s="29" customFormat="1" ht="24.75" customHeight="1" x14ac:dyDescent="0.3">
      <c r="A14" s="301" t="s">
        <v>69</v>
      </c>
      <c r="B14" s="304"/>
      <c r="C14" s="268">
        <f>SUMIFS(수입,항목,"교회지원금",회계월,"="&amp;LEFT(A14,LEN(A14)-1))</f>
        <v>0</v>
      </c>
      <c r="D14" s="268">
        <f>SUMIFS(수입,항목,"재배정금",회계월,"="&amp;LEFT(A14,LEN(A14)-1))</f>
        <v>0</v>
      </c>
      <c r="E14" s="268">
        <f>SUMIFS(수입,관,"헌금/회비",회계월,"="&amp;LEFT(A14,LEN(A14)-1))</f>
        <v>0</v>
      </c>
      <c r="F14" s="268">
        <f>SUMIFS(수입,회계월,"="&amp;LEFT(A14,LEN(A14)-1),회계장부!I:I,"&lt;&gt;"&amp;"전년도이월금")-SUM(C14:E14)</f>
        <v>0</v>
      </c>
      <c r="G14" s="268">
        <f>SUM(C14:F15)</f>
        <v>0</v>
      </c>
      <c r="H14" s="306">
        <f>G14</f>
        <v>0</v>
      </c>
      <c r="I14" s="26" t="s">
        <v>70</v>
      </c>
      <c r="J14" s="296" t="str">
        <f>IF(ISBLANK(회계코드!G12),"",회계코드!G12)</f>
        <v>한마음체육대회</v>
      </c>
      <c r="K14" s="297"/>
      <c r="L14" s="27">
        <f t="shared" si="0"/>
        <v>0</v>
      </c>
      <c r="M14" s="30"/>
    </row>
    <row r="15" spans="1:13" s="29" customFormat="1" ht="24.75" customHeight="1" x14ac:dyDescent="0.3">
      <c r="A15" s="302"/>
      <c r="B15" s="304"/>
      <c r="C15" s="269"/>
      <c r="D15" s="269"/>
      <c r="E15" s="269"/>
      <c r="F15" s="269"/>
      <c r="G15" s="269"/>
      <c r="H15" s="307"/>
      <c r="I15" s="26" t="s">
        <v>71</v>
      </c>
      <c r="J15" s="296" t="str">
        <f>IF(ISBLANK(회계코드!H12),"",회계코드!H12)</f>
        <v>육아부 경비</v>
      </c>
      <c r="K15" s="297"/>
      <c r="L15" s="27">
        <f t="shared" si="0"/>
        <v>0</v>
      </c>
      <c r="M15" s="30"/>
    </row>
    <row r="16" spans="1:13" s="29" customFormat="1" ht="24.75" customHeight="1" x14ac:dyDescent="0.3">
      <c r="A16" s="301" t="s">
        <v>72</v>
      </c>
      <c r="B16" s="304"/>
      <c r="C16" s="268">
        <f>SUMIFS(수입,항목,"교회지원금",회계월,"="&amp;LEFT(A16,LEN(A16)-1))</f>
        <v>0</v>
      </c>
      <c r="D16" s="268">
        <f>SUMIFS(수입,항목,"재배정금",회계월,"="&amp;LEFT(A16,LEN(A16)-1))</f>
        <v>0</v>
      </c>
      <c r="E16" s="268">
        <f>SUMIFS(수입,관,"헌금/회비",회계월,"="&amp;LEFT(A16,LEN(A16)-1))</f>
        <v>0</v>
      </c>
      <c r="F16" s="268">
        <f>SUMIFS(수입,회계월,"="&amp;LEFT(A16,LEN(A16)-1),회계장부!I:I,"&lt;&gt;"&amp;"전년도이월금")-SUM(C16:E16)</f>
        <v>0</v>
      </c>
      <c r="G16" s="268">
        <f>SUM(C16:F17)</f>
        <v>0</v>
      </c>
      <c r="H16" s="306">
        <f>G16</f>
        <v>0</v>
      </c>
      <c r="I16" s="26" t="s">
        <v>73</v>
      </c>
      <c r="J16" s="296" t="str">
        <f>IF(ISBLANK(회계코드!I12),"",회계코드!I12)</f>
        <v>특강/도서구입비</v>
      </c>
      <c r="K16" s="297"/>
      <c r="L16" s="27">
        <f t="shared" si="0"/>
        <v>0</v>
      </c>
      <c r="M16" s="30"/>
    </row>
    <row r="17" spans="1:14" s="29" customFormat="1" ht="24.75" customHeight="1" x14ac:dyDescent="0.3">
      <c r="A17" s="302"/>
      <c r="B17" s="304"/>
      <c r="C17" s="269"/>
      <c r="D17" s="269"/>
      <c r="E17" s="269"/>
      <c r="F17" s="269"/>
      <c r="G17" s="269"/>
      <c r="H17" s="307"/>
      <c r="I17" s="26" t="s">
        <v>74</v>
      </c>
      <c r="J17" s="296" t="str">
        <f>IF(ISBLANK(회계코드!J12),"",회계코드!J12)</f>
        <v>요람/현수막제작비</v>
      </c>
      <c r="K17" s="297"/>
      <c r="L17" s="27">
        <f t="shared" si="0"/>
        <v>0</v>
      </c>
      <c r="M17" s="30"/>
    </row>
    <row r="18" spans="1:14" s="29" customFormat="1" ht="24.75" customHeight="1" x14ac:dyDescent="0.3">
      <c r="A18" s="301" t="s">
        <v>75</v>
      </c>
      <c r="B18" s="304"/>
      <c r="C18" s="268">
        <f>SUMIFS(수입,항목,"교회지원금",회계월,"="&amp;LEFT(A18,LEN(A18)-1))</f>
        <v>0</v>
      </c>
      <c r="D18" s="268">
        <f>SUMIFS(수입,항목,"재배정금",회계월,"="&amp;LEFT(A18,LEN(A18)-1))</f>
        <v>0</v>
      </c>
      <c r="E18" s="268">
        <f>SUMIFS(수입,관,"헌금/회비",회계월,"="&amp;LEFT(A18,LEN(A18)-1))</f>
        <v>0</v>
      </c>
      <c r="F18" s="268">
        <f>SUMIFS(수입,회계월,"="&amp;LEFT(A18,LEN(A18)-1),회계장부!I:I,"&lt;&gt;"&amp;"전년도이월금")-SUM(C18:E18)</f>
        <v>0</v>
      </c>
      <c r="G18" s="268">
        <f>SUM(C18:F19)</f>
        <v>0</v>
      </c>
      <c r="H18" s="306">
        <f>G18</f>
        <v>0</v>
      </c>
      <c r="I18" s="26" t="s">
        <v>76</v>
      </c>
      <c r="J18" s="296" t="str">
        <f>IF(ISBLANK(회계코드!K12),"",회계코드!K12)</f>
        <v>기타지출</v>
      </c>
      <c r="K18" s="297"/>
      <c r="L18" s="27">
        <f t="shared" si="0"/>
        <v>0</v>
      </c>
      <c r="M18" s="30"/>
    </row>
    <row r="19" spans="1:14" s="29" customFormat="1" ht="24.75" customHeight="1" thickBot="1" x14ac:dyDescent="0.35">
      <c r="A19" s="309"/>
      <c r="B19" s="305"/>
      <c r="C19" s="269"/>
      <c r="D19" s="269"/>
      <c r="E19" s="269"/>
      <c r="F19" s="269"/>
      <c r="G19" s="269"/>
      <c r="H19" s="307"/>
      <c r="I19" s="31" t="s">
        <v>77</v>
      </c>
      <c r="J19" s="296" t="str">
        <f>IF(ISBLANK(회계코드!L12),"",회계코드!L12)</f>
        <v/>
      </c>
      <c r="K19" s="297"/>
      <c r="L19" s="27">
        <f t="shared" si="0"/>
        <v>0</v>
      </c>
      <c r="M19" s="32"/>
    </row>
    <row r="20" spans="1:14" s="29" customFormat="1" ht="24.75" customHeight="1" thickBot="1" x14ac:dyDescent="0.35">
      <c r="A20" s="310" t="s">
        <v>78</v>
      </c>
      <c r="B20" s="311">
        <f>SUM(B7)</f>
        <v>1500000</v>
      </c>
      <c r="C20" s="311">
        <f>SUM(C8:C19)</f>
        <v>0</v>
      </c>
      <c r="D20" s="311">
        <f>SUM(D8:D19)</f>
        <v>0</v>
      </c>
      <c r="E20" s="311">
        <f>SUM(E8:E19)</f>
        <v>0</v>
      </c>
      <c r="F20" s="311">
        <f>SUM(F8:F19)</f>
        <v>0</v>
      </c>
      <c r="G20" s="311">
        <f>SUM(G8:G19)</f>
        <v>0</v>
      </c>
      <c r="H20" s="313">
        <f>SUM(H7:H19)</f>
        <v>1500000</v>
      </c>
      <c r="I20" s="315" t="s">
        <v>79</v>
      </c>
      <c r="J20" s="316"/>
      <c r="K20" s="317"/>
      <c r="L20" s="321">
        <f>SUM(L8:L19)</f>
        <v>0</v>
      </c>
      <c r="M20" s="33" t="s">
        <v>80</v>
      </c>
    </row>
    <row r="21" spans="1:14" s="29" customFormat="1" ht="24.75" customHeight="1" thickBot="1" x14ac:dyDescent="0.35">
      <c r="A21" s="309"/>
      <c r="B21" s="312"/>
      <c r="C21" s="312"/>
      <c r="D21" s="312"/>
      <c r="E21" s="312"/>
      <c r="F21" s="312"/>
      <c r="G21" s="312"/>
      <c r="H21" s="314"/>
      <c r="I21" s="318"/>
      <c r="J21" s="319"/>
      <c r="K21" s="320"/>
      <c r="L21" s="322"/>
      <c r="M21" s="34">
        <f>H20-L20</f>
        <v>1500000</v>
      </c>
    </row>
    <row r="22" spans="1:14" s="29" customFormat="1" ht="6" customHeight="1" x14ac:dyDescent="0.3">
      <c r="M22" s="35"/>
    </row>
    <row r="23" spans="1:14" s="29" customFormat="1" ht="16.5" x14ac:dyDescent="0.3">
      <c r="A23" s="17" t="s">
        <v>81</v>
      </c>
      <c r="B23" s="17" t="s">
        <v>82</v>
      </c>
      <c r="D23" s="17"/>
      <c r="E23" s="17"/>
      <c r="F23" s="17"/>
      <c r="G23" s="17"/>
      <c r="M23" s="35"/>
    </row>
    <row r="24" spans="1:14" s="36" customFormat="1" ht="14.25" customHeight="1" x14ac:dyDescent="0.3"/>
    <row r="25" spans="1:14" s="36" customFormat="1" ht="17.25" x14ac:dyDescent="0.3">
      <c r="B25" s="37" t="s">
        <v>121</v>
      </c>
    </row>
    <row r="26" spans="1:14" s="36" customFormat="1" ht="17.25" x14ac:dyDescent="0.3">
      <c r="B26" s="37" t="s">
        <v>133</v>
      </c>
    </row>
    <row r="27" spans="1:14" s="17" customFormat="1" ht="16.5" customHeight="1" thickBot="1" x14ac:dyDescent="0.35"/>
    <row r="28" spans="1:14" s="17" customFormat="1" ht="41.25" customHeight="1" thickBot="1" x14ac:dyDescent="0.35">
      <c r="B28" s="323" t="s">
        <v>122</v>
      </c>
      <c r="C28" s="323"/>
      <c r="D28" s="326"/>
      <c r="E28" s="326"/>
      <c r="F28" s="37" t="s">
        <v>123</v>
      </c>
      <c r="G28" s="37"/>
      <c r="H28" s="37"/>
      <c r="I28" s="37"/>
      <c r="J28" s="37"/>
      <c r="K28" s="38" t="s">
        <v>124</v>
      </c>
      <c r="L28" s="324" t="s">
        <v>125</v>
      </c>
      <c r="M28" s="325"/>
      <c r="N28" s="37"/>
    </row>
    <row r="29" spans="1:14" s="17" customFormat="1" ht="41.25" customHeight="1" thickBot="1" x14ac:dyDescent="0.35">
      <c r="A29" s="37"/>
      <c r="B29" s="323" t="s">
        <v>126</v>
      </c>
      <c r="C29" s="323"/>
      <c r="D29" s="326"/>
      <c r="E29" s="326"/>
      <c r="F29" s="37" t="s">
        <v>127</v>
      </c>
      <c r="G29" s="326"/>
      <c r="H29" s="326"/>
      <c r="I29" s="37"/>
      <c r="J29" s="37"/>
      <c r="K29" s="39" t="s">
        <v>128</v>
      </c>
      <c r="L29" s="327" t="s">
        <v>125</v>
      </c>
      <c r="M29" s="328"/>
      <c r="N29" s="37"/>
    </row>
    <row r="30" spans="1:14" s="17" customFormat="1" ht="9" customHeight="1" x14ac:dyDescent="0.3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s="29" customFormat="1" ht="16.5" x14ac:dyDescent="0.3"/>
    <row r="32" spans="1:14" s="29" customFormat="1" ht="16.5" x14ac:dyDescent="0.3">
      <c r="A32" s="36" t="s">
        <v>83</v>
      </c>
      <c r="B32" s="40" t="s">
        <v>84</v>
      </c>
    </row>
    <row r="33" spans="1:2" s="29" customFormat="1" ht="16.5" x14ac:dyDescent="0.3">
      <c r="A33" s="36"/>
      <c r="B33" s="36" t="s">
        <v>85</v>
      </c>
    </row>
    <row r="34" spans="1:2" s="29" customFormat="1" ht="16.5" x14ac:dyDescent="0.3">
      <c r="A34" s="36"/>
      <c r="B34" s="36" t="s">
        <v>86</v>
      </c>
    </row>
    <row r="35" spans="1:2" s="29" customFormat="1" ht="16.5" x14ac:dyDescent="0.3"/>
    <row r="36" spans="1:2" s="29" customFormat="1" ht="16.5" x14ac:dyDescent="0.3">
      <c r="A36" s="36"/>
      <c r="B36" s="36"/>
    </row>
    <row r="37" spans="1:2" s="29" customFormat="1" ht="16.5" x14ac:dyDescent="0.3">
      <c r="A37" s="36"/>
    </row>
    <row r="38" spans="1:2" s="29" customFormat="1" ht="16.5" x14ac:dyDescent="0.3">
      <c r="A38" s="36"/>
    </row>
    <row r="39" spans="1:2" s="29" customFormat="1" ht="16.5" x14ac:dyDescent="0.3">
      <c r="A39" s="36"/>
    </row>
  </sheetData>
  <sheetProtection algorithmName="SHA-512" hashValue="/G9vOqUNcNU+INoDSMfOKzXcrWhCtp/LoOxytYA6qnsJZx39J8c6j7IxTaJp8NARxe72ll2/yXJU7Xq9VMfbyA==" saltValue="d1Wx/iZBiif8Hnjh6WWg+g==" spinCount="100000" sheet="1" objects="1" scenarios="1"/>
  <mergeCells count="85">
    <mergeCell ref="L20:L21"/>
    <mergeCell ref="B28:C28"/>
    <mergeCell ref="L28:M28"/>
    <mergeCell ref="B29:C29"/>
    <mergeCell ref="G29:H29"/>
    <mergeCell ref="L29:M29"/>
    <mergeCell ref="D28:E28"/>
    <mergeCell ref="D29:E29"/>
    <mergeCell ref="J18:K18"/>
    <mergeCell ref="J19:K19"/>
    <mergeCell ref="A20:A21"/>
    <mergeCell ref="B20:B21"/>
    <mergeCell ref="C20:C21"/>
    <mergeCell ref="D20:D21"/>
    <mergeCell ref="E20:E21"/>
    <mergeCell ref="F20:F21"/>
    <mergeCell ref="G20:G21"/>
    <mergeCell ref="H20:H21"/>
    <mergeCell ref="I20:K21"/>
    <mergeCell ref="H16:H17"/>
    <mergeCell ref="J16:K16"/>
    <mergeCell ref="J17:K17"/>
    <mergeCell ref="A18:A19"/>
    <mergeCell ref="C18:C19"/>
    <mergeCell ref="D18:D19"/>
    <mergeCell ref="E18:E19"/>
    <mergeCell ref="F18:F19"/>
    <mergeCell ref="G18:G19"/>
    <mergeCell ref="H18:H19"/>
    <mergeCell ref="A16:A17"/>
    <mergeCell ref="C16:C17"/>
    <mergeCell ref="D16:D17"/>
    <mergeCell ref="E16:E17"/>
    <mergeCell ref="F16:F17"/>
    <mergeCell ref="G16:G17"/>
    <mergeCell ref="G14:G15"/>
    <mergeCell ref="H14:H15"/>
    <mergeCell ref="J14:K14"/>
    <mergeCell ref="J15:K15"/>
    <mergeCell ref="A12:A13"/>
    <mergeCell ref="C12:C13"/>
    <mergeCell ref="D12:D13"/>
    <mergeCell ref="A14:A15"/>
    <mergeCell ref="C14:C15"/>
    <mergeCell ref="D14:D15"/>
    <mergeCell ref="E14:E15"/>
    <mergeCell ref="F14:F15"/>
    <mergeCell ref="G10:G11"/>
    <mergeCell ref="H10:H11"/>
    <mergeCell ref="G12:G13"/>
    <mergeCell ref="H12:H13"/>
    <mergeCell ref="J12:K12"/>
    <mergeCell ref="J13:K13"/>
    <mergeCell ref="K7:M7"/>
    <mergeCell ref="A8:A9"/>
    <mergeCell ref="B8:B19"/>
    <mergeCell ref="C8:C9"/>
    <mergeCell ref="D8:D9"/>
    <mergeCell ref="E8:E9"/>
    <mergeCell ref="F8:F9"/>
    <mergeCell ref="G8:G9"/>
    <mergeCell ref="H8:H9"/>
    <mergeCell ref="J8:K8"/>
    <mergeCell ref="J9:K9"/>
    <mergeCell ref="A10:A11"/>
    <mergeCell ref="C10:C11"/>
    <mergeCell ref="E12:E13"/>
    <mergeCell ref="F12:F13"/>
    <mergeCell ref="F10:F11"/>
    <mergeCell ref="D10:D11"/>
    <mergeCell ref="E10:E11"/>
    <mergeCell ref="A1:M1"/>
    <mergeCell ref="B3:C3"/>
    <mergeCell ref="A4:A6"/>
    <mergeCell ref="B4:H4"/>
    <mergeCell ref="I4:L4"/>
    <mergeCell ref="M4:M6"/>
    <mergeCell ref="B5:B6"/>
    <mergeCell ref="C5:G5"/>
    <mergeCell ref="H5:H6"/>
    <mergeCell ref="I5:K6"/>
    <mergeCell ref="L5:L6"/>
    <mergeCell ref="J10:K10"/>
    <mergeCell ref="J11:K11"/>
    <mergeCell ref="C7:G7"/>
  </mergeCells>
  <phoneticPr fontId="2" type="noConversion"/>
  <conditionalFormatting sqref="B3:C3">
    <cfRule type="expression" dxfId="1" priority="1">
      <formula>LEN(부서명)=0</formula>
    </cfRule>
  </conditionalFormatting>
  <pageMargins left="0.7" right="0.7" top="0.75" bottom="0.75" header="0.3" footer="0.3"/>
  <pageSetup paperSize="9" scale="70" orientation="landscape" horizontalDpi="0" verticalDpi="0" r:id="rId1"/>
  <ignoredErrors>
    <ignoredError sqref="I8:I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9"/>
  <sheetViews>
    <sheetView workbookViewId="0">
      <selection activeCell="G12" sqref="G12:G13"/>
    </sheetView>
  </sheetViews>
  <sheetFormatPr defaultRowHeight="13.5" x14ac:dyDescent="0.3"/>
  <cols>
    <col min="1" max="1" width="8.875" style="41" customWidth="1"/>
    <col min="2" max="8" width="14.875" style="41" customWidth="1"/>
    <col min="9" max="9" width="3.625" style="41" customWidth="1"/>
    <col min="10" max="10" width="9.625" style="41" customWidth="1"/>
    <col min="11" max="11" width="10.625" style="41" customWidth="1"/>
    <col min="12" max="13" width="14.875" style="41" customWidth="1"/>
    <col min="14" max="16384" width="9" style="41"/>
  </cols>
  <sheetData>
    <row r="1" spans="1:13" s="13" customFormat="1" ht="33.75" x14ac:dyDescent="0.3">
      <c r="A1" s="270" t="s">
        <v>132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13" customFormat="1" ht="6.7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17" customFormat="1" ht="24" customHeight="1" thickBot="1" x14ac:dyDescent="0.35">
      <c r="A3" s="15" t="s">
        <v>119</v>
      </c>
      <c r="B3" s="329" t="str">
        <f>IF(LEN(부서명)&gt;0,부서명,"회계코드 Sheet에서 부서명을 입력하세요.")</f>
        <v>회계코드 Sheet에서 부서명을 입력하세요.</v>
      </c>
      <c r="C3" s="329"/>
      <c r="D3" s="16"/>
      <c r="E3" s="16"/>
      <c r="F3" s="16"/>
      <c r="G3" s="16"/>
      <c r="H3" s="16"/>
      <c r="I3" s="16"/>
      <c r="J3" s="16"/>
      <c r="K3" s="16"/>
      <c r="M3" s="18" t="s">
        <v>120</v>
      </c>
    </row>
    <row r="4" spans="1:13" s="17" customFormat="1" ht="21" customHeight="1" x14ac:dyDescent="0.3">
      <c r="A4" s="271" t="s">
        <v>87</v>
      </c>
      <c r="B4" s="274" t="s">
        <v>88</v>
      </c>
      <c r="C4" s="275"/>
      <c r="D4" s="275"/>
      <c r="E4" s="275"/>
      <c r="F4" s="275"/>
      <c r="G4" s="275"/>
      <c r="H4" s="276"/>
      <c r="I4" s="277" t="s">
        <v>89</v>
      </c>
      <c r="J4" s="278"/>
      <c r="K4" s="278"/>
      <c r="L4" s="279"/>
      <c r="M4" s="280" t="s">
        <v>90</v>
      </c>
    </row>
    <row r="5" spans="1:13" s="17" customFormat="1" ht="21" customHeight="1" x14ac:dyDescent="0.3">
      <c r="A5" s="272"/>
      <c r="B5" s="283" t="s">
        <v>91</v>
      </c>
      <c r="C5" s="285" t="s">
        <v>92</v>
      </c>
      <c r="D5" s="286"/>
      <c r="E5" s="286"/>
      <c r="F5" s="286"/>
      <c r="G5" s="286"/>
      <c r="H5" s="287" t="s">
        <v>93</v>
      </c>
      <c r="I5" s="289" t="s">
        <v>94</v>
      </c>
      <c r="J5" s="286"/>
      <c r="K5" s="290"/>
      <c r="L5" s="294" t="s">
        <v>95</v>
      </c>
      <c r="M5" s="281"/>
    </row>
    <row r="6" spans="1:13" s="17" customFormat="1" ht="21" customHeight="1" x14ac:dyDescent="0.3">
      <c r="A6" s="273"/>
      <c r="B6" s="284"/>
      <c r="C6" s="19" t="s">
        <v>96</v>
      </c>
      <c r="D6" s="19" t="s">
        <v>97</v>
      </c>
      <c r="E6" s="19" t="s">
        <v>98</v>
      </c>
      <c r="F6" s="19" t="s">
        <v>99</v>
      </c>
      <c r="G6" s="20" t="s">
        <v>79</v>
      </c>
      <c r="H6" s="288"/>
      <c r="I6" s="291"/>
      <c r="J6" s="292"/>
      <c r="K6" s="293"/>
      <c r="L6" s="295"/>
      <c r="M6" s="282"/>
    </row>
    <row r="7" spans="1:13" s="17" customFormat="1" ht="33" customHeight="1" x14ac:dyDescent="0.3">
      <c r="A7" s="21" t="s">
        <v>100</v>
      </c>
      <c r="B7" s="42">
        <f>'검산서(상반기)'!B20</f>
        <v>1500000</v>
      </c>
      <c r="C7" s="42">
        <f>'검산서(상반기)'!C20</f>
        <v>0</v>
      </c>
      <c r="D7" s="42">
        <f>'검산서(상반기)'!D20</f>
        <v>0</v>
      </c>
      <c r="E7" s="42">
        <f>'검산서(상반기)'!E20</f>
        <v>0</v>
      </c>
      <c r="F7" s="42">
        <f>'검산서(상반기)'!F20</f>
        <v>0</v>
      </c>
      <c r="G7" s="42">
        <f>'검산서(상반기)'!G20</f>
        <v>0</v>
      </c>
      <c r="H7" s="42">
        <f>'검산서(상반기)'!H20</f>
        <v>1500000</v>
      </c>
      <c r="I7" s="330" t="s">
        <v>101</v>
      </c>
      <c r="J7" s="331"/>
      <c r="K7" s="332"/>
      <c r="L7" s="43">
        <f>'검산서(상반기)'!L20</f>
        <v>0</v>
      </c>
      <c r="M7" s="44"/>
    </row>
    <row r="8" spans="1:13" s="29" customFormat="1" ht="24.75" customHeight="1" x14ac:dyDescent="0.3">
      <c r="A8" s="301" t="s">
        <v>113</v>
      </c>
      <c r="B8" s="303"/>
      <c r="C8" s="268">
        <f>SUMIFS(수입,항목,"교회지원금",회계월,"="&amp;LEFT(A8,LEN(A8)-1))</f>
        <v>0</v>
      </c>
      <c r="D8" s="268">
        <f>SUMIFS(수입,항목,"재배정금",회계월,"="&amp;LEFT(A8,LEN(A8)-1))</f>
        <v>0</v>
      </c>
      <c r="E8" s="268">
        <f>SUMIFS(수입,관,"헌금/회비",회계월,"="&amp;LEFT(A8,LEN(A8)-1))</f>
        <v>0</v>
      </c>
      <c r="F8" s="268">
        <f>SUMIFS(수입,회계월,"="&amp;LEFT(A8,LEN(A8)-1),회계장부!I:I,"&lt;&gt;"&amp;"전년도이월금")-SUM(C8:E8)</f>
        <v>0</v>
      </c>
      <c r="G8" s="268">
        <f>SUM(C8:F9)</f>
        <v>0</v>
      </c>
      <c r="H8" s="306">
        <f>G8</f>
        <v>0</v>
      </c>
      <c r="I8" s="26" t="s">
        <v>102</v>
      </c>
      <c r="J8" s="296" t="str">
        <f>IF(ISBLANK(회계코드!A12),"",회계코드!A12)</f>
        <v>간식/식대비</v>
      </c>
      <c r="K8" s="297"/>
      <c r="L8" s="27">
        <f t="shared" ref="L8:L15" si="0">SUMIFS(지출,관,J8,회계월,"&gt;6")</f>
        <v>0</v>
      </c>
      <c r="M8" s="28"/>
    </row>
    <row r="9" spans="1:13" s="29" customFormat="1" ht="24.75" customHeight="1" x14ac:dyDescent="0.3">
      <c r="A9" s="302"/>
      <c r="B9" s="304"/>
      <c r="C9" s="269"/>
      <c r="D9" s="269"/>
      <c r="E9" s="269"/>
      <c r="F9" s="269"/>
      <c r="G9" s="269"/>
      <c r="H9" s="307"/>
      <c r="I9" s="26" t="s">
        <v>62</v>
      </c>
      <c r="J9" s="296" t="str">
        <f>IF(ISBLANK(회계코드!B12),"",회계코드!B12)</f>
        <v>여름수련회</v>
      </c>
      <c r="K9" s="297"/>
      <c r="L9" s="27">
        <f t="shared" si="0"/>
        <v>0</v>
      </c>
      <c r="M9" s="30"/>
    </row>
    <row r="10" spans="1:13" s="29" customFormat="1" ht="24.75" customHeight="1" x14ac:dyDescent="0.3">
      <c r="A10" s="301" t="s">
        <v>114</v>
      </c>
      <c r="B10" s="304"/>
      <c r="C10" s="268">
        <f>SUMIFS(수입,항목,"교회지원금",회계월,"="&amp;LEFT(A10,LEN(A10)-1))</f>
        <v>0</v>
      </c>
      <c r="D10" s="268">
        <f>SUMIFS(수입,항목,"재배정금",회계월,"="&amp;LEFT(A10,LEN(A10)-1))</f>
        <v>0</v>
      </c>
      <c r="E10" s="268">
        <f>SUMIFS(수입,관,"헌금/회비",회계월,"="&amp;LEFT(A10,LEN(A10)-1))</f>
        <v>0</v>
      </c>
      <c r="F10" s="268">
        <f>SUMIFS(수입,회계월,"="&amp;LEFT(A10,LEN(A10)-1),회계장부!I:I,"&lt;&gt;"&amp;"전년도이월금")-SUM(C10:E10)</f>
        <v>0</v>
      </c>
      <c r="G10" s="268">
        <f>SUM(C10:F11)</f>
        <v>0</v>
      </c>
      <c r="H10" s="306">
        <f>G10</f>
        <v>0</v>
      </c>
      <c r="I10" s="26" t="s">
        <v>64</v>
      </c>
      <c r="J10" s="296" t="str">
        <f>IF(ISBLANK(회계코드!C12),"",회계코드!C12)</f>
        <v>찬양축제/신년기도회</v>
      </c>
      <c r="K10" s="297"/>
      <c r="L10" s="27">
        <f t="shared" si="0"/>
        <v>0</v>
      </c>
      <c r="M10" s="30"/>
    </row>
    <row r="11" spans="1:13" s="29" customFormat="1" ht="24.75" customHeight="1" x14ac:dyDescent="0.3">
      <c r="A11" s="302"/>
      <c r="B11" s="304"/>
      <c r="C11" s="269"/>
      <c r="D11" s="269"/>
      <c r="E11" s="269"/>
      <c r="F11" s="269"/>
      <c r="G11" s="269"/>
      <c r="H11" s="307"/>
      <c r="I11" s="26" t="s">
        <v>65</v>
      </c>
      <c r="J11" s="296" t="str">
        <f>IF(ISBLANK(회계코드!D12),"",회계코드!D12)</f>
        <v>새가족환영회</v>
      </c>
      <c r="K11" s="297"/>
      <c r="L11" s="27">
        <f t="shared" si="0"/>
        <v>0</v>
      </c>
      <c r="M11" s="30"/>
    </row>
    <row r="12" spans="1:13" s="29" customFormat="1" ht="24.75" customHeight="1" x14ac:dyDescent="0.3">
      <c r="A12" s="308" t="s">
        <v>115</v>
      </c>
      <c r="B12" s="304"/>
      <c r="C12" s="268">
        <f>SUMIFS(수입,항목,"교회지원금",회계월,"="&amp;LEFT(A12,LEN(A12)-1))</f>
        <v>0</v>
      </c>
      <c r="D12" s="268">
        <f>SUMIFS(수입,항목,"재배정금",회계월,"="&amp;LEFT(A12,LEN(A12)-1))</f>
        <v>0</v>
      </c>
      <c r="E12" s="268">
        <f>SUMIFS(수입,관,"헌금/회비",회계월,"="&amp;LEFT(A12,LEN(A12)-1))</f>
        <v>0</v>
      </c>
      <c r="F12" s="268">
        <f>SUMIFS(수입,회계월,"="&amp;LEFT(A12,LEN(A12)-1),회계장부!I:I,"&lt;&gt;"&amp;"전년도이월금")-SUM(C12:E12)</f>
        <v>0</v>
      </c>
      <c r="G12" s="268">
        <f>SUM(C12:F13)</f>
        <v>0</v>
      </c>
      <c r="H12" s="306">
        <f>G12</f>
        <v>0</v>
      </c>
      <c r="I12" s="26" t="s">
        <v>67</v>
      </c>
      <c r="J12" s="296" t="str">
        <f>IF(ISBLANK(회계코드!E12),"",회계코드!E12)</f>
        <v>시상/선물</v>
      </c>
      <c r="K12" s="297"/>
      <c r="L12" s="27">
        <f t="shared" si="0"/>
        <v>0</v>
      </c>
      <c r="M12" s="30"/>
    </row>
    <row r="13" spans="1:13" s="29" customFormat="1" ht="24.75" customHeight="1" x14ac:dyDescent="0.3">
      <c r="A13" s="302"/>
      <c r="B13" s="304"/>
      <c r="C13" s="269"/>
      <c r="D13" s="269"/>
      <c r="E13" s="269"/>
      <c r="F13" s="269"/>
      <c r="G13" s="269"/>
      <c r="H13" s="307"/>
      <c r="I13" s="26" t="s">
        <v>68</v>
      </c>
      <c r="J13" s="296" t="str">
        <f>IF(ISBLANK(회계코드!F12),"",회계코드!F12)</f>
        <v>심방비</v>
      </c>
      <c r="K13" s="297"/>
      <c r="L13" s="27">
        <f t="shared" si="0"/>
        <v>0</v>
      </c>
      <c r="M13" s="30"/>
    </row>
    <row r="14" spans="1:13" s="29" customFormat="1" ht="24.75" customHeight="1" x14ac:dyDescent="0.3">
      <c r="A14" s="301" t="s">
        <v>116</v>
      </c>
      <c r="B14" s="304"/>
      <c r="C14" s="268">
        <f>SUMIFS(수입,항목,"교회지원금",회계월,"="&amp;LEFT(A14,LEN(A14)-1))</f>
        <v>0</v>
      </c>
      <c r="D14" s="268">
        <f>SUMIFS(수입,항목,"재배정금",회계월,"="&amp;LEFT(A14,LEN(A14)-1))</f>
        <v>0</v>
      </c>
      <c r="E14" s="268">
        <f>SUMIFS(수입,관,"헌금/회비",회계월,"="&amp;LEFT(A14,LEN(A14)-1))</f>
        <v>0</v>
      </c>
      <c r="F14" s="268">
        <f>SUMIFS(수입,회계월,"="&amp;LEFT(A14,LEN(A14)-1),회계장부!I:I,"&lt;&gt;"&amp;"전년도이월금")-SUM(C14:E14)</f>
        <v>0</v>
      </c>
      <c r="G14" s="268">
        <f>SUM(C14:F15)</f>
        <v>0</v>
      </c>
      <c r="H14" s="306">
        <f>G14</f>
        <v>0</v>
      </c>
      <c r="I14" s="26" t="s">
        <v>70</v>
      </c>
      <c r="J14" s="296" t="str">
        <f>IF(ISBLANK(회계코드!G12),"",회계코드!G12)</f>
        <v>한마음체육대회</v>
      </c>
      <c r="K14" s="297"/>
      <c r="L14" s="27">
        <f t="shared" si="0"/>
        <v>0</v>
      </c>
      <c r="M14" s="30"/>
    </row>
    <row r="15" spans="1:13" s="29" customFormat="1" ht="24.75" customHeight="1" x14ac:dyDescent="0.3">
      <c r="A15" s="302"/>
      <c r="B15" s="304"/>
      <c r="C15" s="269"/>
      <c r="D15" s="269"/>
      <c r="E15" s="269"/>
      <c r="F15" s="269"/>
      <c r="G15" s="269"/>
      <c r="H15" s="307"/>
      <c r="I15" s="26" t="s">
        <v>71</v>
      </c>
      <c r="J15" s="296" t="str">
        <f>IF(ISBLANK(회계코드!H12),"",회계코드!H12)</f>
        <v>육아부 경비</v>
      </c>
      <c r="K15" s="297"/>
      <c r="L15" s="27">
        <f t="shared" si="0"/>
        <v>0</v>
      </c>
      <c r="M15" s="30"/>
    </row>
    <row r="16" spans="1:13" s="29" customFormat="1" ht="24.75" customHeight="1" x14ac:dyDescent="0.3">
      <c r="A16" s="301" t="s">
        <v>117</v>
      </c>
      <c r="B16" s="304"/>
      <c r="C16" s="268">
        <f>SUMIFS(수입,항목,"교회지원금",회계월,"="&amp;LEFT(A16,LEN(A16)-1))</f>
        <v>0</v>
      </c>
      <c r="D16" s="268">
        <f>SUMIFS(수입,항목,"재배정금",회계월,"="&amp;LEFT(A16,LEN(A16)-1))</f>
        <v>0</v>
      </c>
      <c r="E16" s="268">
        <f>SUMIFS(수입,관,"헌금/회비",회계월,"="&amp;LEFT(A16,LEN(A16)-1))</f>
        <v>0</v>
      </c>
      <c r="F16" s="268">
        <f>SUMIFS(수입,회계월,"="&amp;LEFT(A16,LEN(A16)-1),회계장부!I:I,"&lt;&gt;"&amp;"전년도이월금")-SUM(C16:E16)</f>
        <v>0</v>
      </c>
      <c r="G16" s="268">
        <f>SUM(C16:F17)</f>
        <v>0</v>
      </c>
      <c r="H16" s="306">
        <f>G16</f>
        <v>0</v>
      </c>
      <c r="I16" s="26" t="s">
        <v>73</v>
      </c>
      <c r="J16" s="296" t="str">
        <f>IF(ISBLANK(회계코드!I12),"",회계코드!I12)</f>
        <v>특강/도서구입비</v>
      </c>
      <c r="K16" s="297"/>
      <c r="L16" s="27"/>
      <c r="M16" s="30"/>
    </row>
    <row r="17" spans="1:14" s="29" customFormat="1" ht="24.75" customHeight="1" x14ac:dyDescent="0.3">
      <c r="A17" s="302"/>
      <c r="B17" s="304"/>
      <c r="C17" s="269"/>
      <c r="D17" s="269"/>
      <c r="E17" s="269"/>
      <c r="F17" s="269"/>
      <c r="G17" s="269"/>
      <c r="H17" s="307"/>
      <c r="I17" s="26" t="s">
        <v>74</v>
      </c>
      <c r="J17" s="296" t="str">
        <f>IF(ISBLANK(회계코드!J12),"",회계코드!J12)</f>
        <v>요람/현수막제작비</v>
      </c>
      <c r="K17" s="297"/>
      <c r="L17" s="27"/>
      <c r="M17" s="30"/>
    </row>
    <row r="18" spans="1:14" s="29" customFormat="1" ht="24.75" customHeight="1" x14ac:dyDescent="0.3">
      <c r="A18" s="301" t="s">
        <v>118</v>
      </c>
      <c r="B18" s="304"/>
      <c r="C18" s="268">
        <f>SUMIFS(수입,항목,"교회지원금",회계월,"="&amp;LEFT(A18,LEN(A18)-1))</f>
        <v>0</v>
      </c>
      <c r="D18" s="268">
        <f>SUMIFS(수입,항목,"재배정금",회계월,"="&amp;LEFT(A18,LEN(A18)-1))</f>
        <v>0</v>
      </c>
      <c r="E18" s="268">
        <f>SUMIFS(수입,관,"헌금/회비",회계월,"="&amp;LEFT(A18,LEN(A18)-1))</f>
        <v>0</v>
      </c>
      <c r="F18" s="268">
        <f>SUMIFS(수입,회계월,"="&amp;LEFT(A18,LEN(A18)-1),회계장부!I:I,"&lt;&gt;"&amp;"전년도이월금")-SUM(C18:E18)</f>
        <v>0</v>
      </c>
      <c r="G18" s="268">
        <f>SUM(C18:F19)</f>
        <v>0</v>
      </c>
      <c r="H18" s="306">
        <f>G18</f>
        <v>0</v>
      </c>
      <c r="I18" s="26" t="s">
        <v>76</v>
      </c>
      <c r="J18" s="296" t="str">
        <f>IF(ISBLANK(회계코드!K12),"",회계코드!K12)</f>
        <v>기타지출</v>
      </c>
      <c r="K18" s="297"/>
      <c r="L18" s="27"/>
      <c r="M18" s="30"/>
    </row>
    <row r="19" spans="1:14" s="29" customFormat="1" ht="24.75" customHeight="1" thickBot="1" x14ac:dyDescent="0.35">
      <c r="A19" s="309"/>
      <c r="B19" s="305"/>
      <c r="C19" s="269"/>
      <c r="D19" s="269"/>
      <c r="E19" s="269"/>
      <c r="F19" s="269"/>
      <c r="G19" s="269"/>
      <c r="H19" s="307"/>
      <c r="I19" s="31" t="s">
        <v>77</v>
      </c>
      <c r="J19" s="296" t="str">
        <f>IF(ISBLANK(회계코드!L12),"",회계코드!L12)</f>
        <v/>
      </c>
      <c r="K19" s="297"/>
      <c r="L19" s="27"/>
      <c r="M19" s="32"/>
    </row>
    <row r="20" spans="1:14" s="29" customFormat="1" ht="24.75" customHeight="1" thickBot="1" x14ac:dyDescent="0.35">
      <c r="A20" s="45" t="s">
        <v>103</v>
      </c>
      <c r="B20" s="46"/>
      <c r="C20" s="47">
        <f t="shared" ref="C20:H20" si="1">SUM(C8:C19)</f>
        <v>0</v>
      </c>
      <c r="D20" s="47">
        <f t="shared" si="1"/>
        <v>0</v>
      </c>
      <c r="E20" s="47">
        <f t="shared" si="1"/>
        <v>0</v>
      </c>
      <c r="F20" s="47">
        <f t="shared" si="1"/>
        <v>0</v>
      </c>
      <c r="G20" s="48">
        <f t="shared" si="1"/>
        <v>0</v>
      </c>
      <c r="H20" s="49">
        <f t="shared" si="1"/>
        <v>0</v>
      </c>
      <c r="I20" s="333" t="s">
        <v>104</v>
      </c>
      <c r="J20" s="334"/>
      <c r="K20" s="335"/>
      <c r="L20" s="48">
        <f>SUM(L8:L19)</f>
        <v>0</v>
      </c>
      <c r="M20" s="33" t="s">
        <v>105</v>
      </c>
    </row>
    <row r="21" spans="1:14" s="29" customFormat="1" ht="24.75" customHeight="1" thickBot="1" x14ac:dyDescent="0.35">
      <c r="A21" s="50" t="s">
        <v>106</v>
      </c>
      <c r="B21" s="51">
        <f>B7</f>
        <v>1500000</v>
      </c>
      <c r="C21" s="51">
        <f t="shared" ref="C21:H21" si="2">C7+C20</f>
        <v>0</v>
      </c>
      <c r="D21" s="51">
        <f t="shared" si="2"/>
        <v>0</v>
      </c>
      <c r="E21" s="51">
        <f t="shared" si="2"/>
        <v>0</v>
      </c>
      <c r="F21" s="51">
        <f t="shared" si="2"/>
        <v>0</v>
      </c>
      <c r="G21" s="51">
        <f t="shared" si="2"/>
        <v>0</v>
      </c>
      <c r="H21" s="51">
        <f t="shared" si="2"/>
        <v>1500000</v>
      </c>
      <c r="I21" s="336" t="s">
        <v>106</v>
      </c>
      <c r="J21" s="337"/>
      <c r="K21" s="319"/>
      <c r="L21" s="52">
        <f>L7+L20</f>
        <v>0</v>
      </c>
      <c r="M21" s="53">
        <f>H21-L21</f>
        <v>1500000</v>
      </c>
    </row>
    <row r="22" spans="1:14" s="29" customFormat="1" ht="6" customHeight="1" x14ac:dyDescent="0.3">
      <c r="M22" s="35"/>
    </row>
    <row r="23" spans="1:14" s="29" customFormat="1" ht="16.5" x14ac:dyDescent="0.3">
      <c r="A23" s="17" t="s">
        <v>107</v>
      </c>
      <c r="B23" s="17" t="s">
        <v>108</v>
      </c>
      <c r="D23" s="17"/>
      <c r="E23" s="17"/>
      <c r="F23" s="17"/>
      <c r="G23" s="17"/>
      <c r="M23" s="35"/>
    </row>
    <row r="24" spans="1:14" s="36" customFormat="1" ht="14.25" customHeight="1" x14ac:dyDescent="0.3"/>
    <row r="25" spans="1:14" s="36" customFormat="1" ht="17.25" x14ac:dyDescent="0.3">
      <c r="B25" s="37" t="s">
        <v>121</v>
      </c>
    </row>
    <row r="26" spans="1:14" s="36" customFormat="1" ht="17.25" x14ac:dyDescent="0.3">
      <c r="B26" s="37" t="s">
        <v>134</v>
      </c>
    </row>
    <row r="27" spans="1:14" s="17" customFormat="1" ht="16.5" customHeight="1" thickBot="1" x14ac:dyDescent="0.35"/>
    <row r="28" spans="1:14" s="17" customFormat="1" ht="41.25" customHeight="1" thickBot="1" x14ac:dyDescent="0.35">
      <c r="B28" s="323" t="s">
        <v>122</v>
      </c>
      <c r="C28" s="323"/>
      <c r="D28" s="326"/>
      <c r="E28" s="326"/>
      <c r="F28" s="37" t="s">
        <v>123</v>
      </c>
      <c r="G28" s="37"/>
      <c r="H28" s="37"/>
      <c r="I28" s="37"/>
      <c r="J28" s="37"/>
      <c r="K28" s="38" t="s">
        <v>124</v>
      </c>
      <c r="L28" s="324" t="s">
        <v>125</v>
      </c>
      <c r="M28" s="325"/>
      <c r="N28" s="37"/>
    </row>
    <row r="29" spans="1:14" s="17" customFormat="1" ht="41.25" customHeight="1" thickBot="1" x14ac:dyDescent="0.35">
      <c r="A29" s="37"/>
      <c r="B29" s="323" t="s">
        <v>126</v>
      </c>
      <c r="C29" s="323"/>
      <c r="D29" s="326"/>
      <c r="E29" s="326"/>
      <c r="F29" s="37" t="s">
        <v>127</v>
      </c>
      <c r="G29" s="326"/>
      <c r="H29" s="326"/>
      <c r="I29" s="37"/>
      <c r="J29" s="37"/>
      <c r="K29" s="39" t="s">
        <v>128</v>
      </c>
      <c r="L29" s="327" t="s">
        <v>125</v>
      </c>
      <c r="M29" s="328"/>
      <c r="N29" s="37"/>
    </row>
    <row r="30" spans="1:14" s="17" customFormat="1" ht="9" customHeight="1" x14ac:dyDescent="0.3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4" s="29" customFormat="1" ht="16.5" x14ac:dyDescent="0.3"/>
    <row r="32" spans="1:14" s="29" customFormat="1" ht="16.5" x14ac:dyDescent="0.3">
      <c r="A32" s="36" t="s">
        <v>109</v>
      </c>
      <c r="B32" s="40" t="s">
        <v>110</v>
      </c>
    </row>
    <row r="33" spans="1:2" s="29" customFormat="1" ht="16.5" x14ac:dyDescent="0.3">
      <c r="A33" s="36"/>
      <c r="B33" s="36" t="s">
        <v>111</v>
      </c>
    </row>
    <row r="34" spans="1:2" s="29" customFormat="1" ht="16.5" x14ac:dyDescent="0.3">
      <c r="A34" s="36"/>
      <c r="B34" s="36" t="s">
        <v>112</v>
      </c>
    </row>
    <row r="35" spans="1:2" s="29" customFormat="1" ht="16.5" x14ac:dyDescent="0.3"/>
    <row r="36" spans="1:2" s="29" customFormat="1" ht="16.5" x14ac:dyDescent="0.3">
      <c r="A36" s="36"/>
      <c r="B36" s="36"/>
    </row>
    <row r="37" spans="1:2" s="29" customFormat="1" ht="16.5" x14ac:dyDescent="0.3">
      <c r="A37" s="36"/>
    </row>
    <row r="38" spans="1:2" s="29" customFormat="1" ht="16.5" x14ac:dyDescent="0.3">
      <c r="A38" s="36"/>
    </row>
    <row r="39" spans="1:2" s="29" customFormat="1" ht="16.5" x14ac:dyDescent="0.3">
      <c r="A39" s="36"/>
    </row>
  </sheetData>
  <sheetProtection algorithmName="SHA-512" hashValue="hQY8mpdPWRNW1MJursqr6lcQEFDylEj7MqkAxHljPwjEk2PptNmUOsUH/hHeye4yZ0TdSYp7nxqBGrbEvYntVA==" saltValue="s8x0Emix4/2stGgYLOCLVA==" spinCount="100000" sheet="1" objects="1" scenarios="1"/>
  <mergeCells count="76">
    <mergeCell ref="B29:C29"/>
    <mergeCell ref="G29:H29"/>
    <mergeCell ref="L29:M29"/>
    <mergeCell ref="J16:K16"/>
    <mergeCell ref="J17:K17"/>
    <mergeCell ref="G18:G19"/>
    <mergeCell ref="H18:H19"/>
    <mergeCell ref="J18:K18"/>
    <mergeCell ref="J19:K19"/>
    <mergeCell ref="I20:K20"/>
    <mergeCell ref="I21:K21"/>
    <mergeCell ref="B28:C28"/>
    <mergeCell ref="L28:M28"/>
    <mergeCell ref="D28:E28"/>
    <mergeCell ref="D29:E29"/>
    <mergeCell ref="A18:A19"/>
    <mergeCell ref="C18:C19"/>
    <mergeCell ref="D18:D19"/>
    <mergeCell ref="E18:E19"/>
    <mergeCell ref="F18:F19"/>
    <mergeCell ref="H14:H15"/>
    <mergeCell ref="J14:K14"/>
    <mergeCell ref="J15:K15"/>
    <mergeCell ref="A16:A17"/>
    <mergeCell ref="C16:C17"/>
    <mergeCell ref="D16:D17"/>
    <mergeCell ref="E16:E17"/>
    <mergeCell ref="F16:F17"/>
    <mergeCell ref="G16:G17"/>
    <mergeCell ref="H16:H17"/>
    <mergeCell ref="A14:A15"/>
    <mergeCell ref="C14:C15"/>
    <mergeCell ref="D14:D15"/>
    <mergeCell ref="E14:E15"/>
    <mergeCell ref="F14:F15"/>
    <mergeCell ref="G14:G15"/>
    <mergeCell ref="G10:G11"/>
    <mergeCell ref="H10:H11"/>
    <mergeCell ref="J10:K10"/>
    <mergeCell ref="J11:K11"/>
    <mergeCell ref="A12:A13"/>
    <mergeCell ref="C12:C13"/>
    <mergeCell ref="D12:D13"/>
    <mergeCell ref="E12:E13"/>
    <mergeCell ref="F12:F13"/>
    <mergeCell ref="G12:G13"/>
    <mergeCell ref="H12:H13"/>
    <mergeCell ref="J12:K12"/>
    <mergeCell ref="J13:K13"/>
    <mergeCell ref="I7:K7"/>
    <mergeCell ref="A8:A9"/>
    <mergeCell ref="B8:B19"/>
    <mergeCell ref="C8:C9"/>
    <mergeCell ref="D8:D9"/>
    <mergeCell ref="E8:E9"/>
    <mergeCell ref="F8:F9"/>
    <mergeCell ref="G8:G9"/>
    <mergeCell ref="H8:H9"/>
    <mergeCell ref="J8:K8"/>
    <mergeCell ref="J9:K9"/>
    <mergeCell ref="A10:A11"/>
    <mergeCell ref="C10:C11"/>
    <mergeCell ref="D10:D11"/>
    <mergeCell ref="E10:E11"/>
    <mergeCell ref="F10:F11"/>
    <mergeCell ref="A1:M1"/>
    <mergeCell ref="B3:C3"/>
    <mergeCell ref="A4:A6"/>
    <mergeCell ref="B4:H4"/>
    <mergeCell ref="I4:L4"/>
    <mergeCell ref="M4:M6"/>
    <mergeCell ref="B5:B6"/>
    <mergeCell ref="C5:G5"/>
    <mergeCell ref="H5:H6"/>
    <mergeCell ref="I5:K6"/>
    <mergeCell ref="L5:L6"/>
  </mergeCells>
  <phoneticPr fontId="2" type="noConversion"/>
  <conditionalFormatting sqref="B3:C3">
    <cfRule type="expression" dxfId="0" priority="1">
      <formula>LEN(부서명)=0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L109"/>
  <sheetViews>
    <sheetView zoomScale="115" zoomScaleNormal="115" workbookViewId="0">
      <selection activeCell="A12" sqref="A12:K15"/>
    </sheetView>
  </sheetViews>
  <sheetFormatPr defaultRowHeight="20.100000000000001" customHeight="1" x14ac:dyDescent="0.3"/>
  <cols>
    <col min="1" max="12" width="14.625" style="139" customWidth="1"/>
    <col min="13" max="213" width="9" style="140"/>
    <col min="214" max="214" width="17" style="140" bestFit="1" customWidth="1"/>
    <col min="215" max="215" width="23.375" style="140" customWidth="1"/>
    <col min="216" max="216" width="14.25" style="140" customWidth="1"/>
    <col min="217" max="469" width="9" style="140"/>
    <col min="470" max="470" width="17" style="140" bestFit="1" customWidth="1"/>
    <col min="471" max="471" width="23.375" style="140" customWidth="1"/>
    <col min="472" max="472" width="14.25" style="140" customWidth="1"/>
    <col min="473" max="725" width="9" style="140"/>
    <col min="726" max="726" width="17" style="140" bestFit="1" customWidth="1"/>
    <col min="727" max="727" width="23.375" style="140" customWidth="1"/>
    <col min="728" max="728" width="14.25" style="140" customWidth="1"/>
    <col min="729" max="981" width="9" style="140"/>
    <col min="982" max="982" width="17" style="140" bestFit="1" customWidth="1"/>
    <col min="983" max="983" width="23.375" style="140" customWidth="1"/>
    <col min="984" max="984" width="14.25" style="140" customWidth="1"/>
    <col min="985" max="1237" width="9" style="140"/>
    <col min="1238" max="1238" width="17" style="140" bestFit="1" customWidth="1"/>
    <col min="1239" max="1239" width="23.375" style="140" customWidth="1"/>
    <col min="1240" max="1240" width="14.25" style="140" customWidth="1"/>
    <col min="1241" max="1493" width="9" style="140"/>
    <col min="1494" max="1494" width="17" style="140" bestFit="1" customWidth="1"/>
    <col min="1495" max="1495" width="23.375" style="140" customWidth="1"/>
    <col min="1496" max="1496" width="14.25" style="140" customWidth="1"/>
    <col min="1497" max="1749" width="9" style="140"/>
    <col min="1750" max="1750" width="17" style="140" bestFit="1" customWidth="1"/>
    <col min="1751" max="1751" width="23.375" style="140" customWidth="1"/>
    <col min="1752" max="1752" width="14.25" style="140" customWidth="1"/>
    <col min="1753" max="2005" width="9" style="140"/>
    <col min="2006" max="2006" width="17" style="140" bestFit="1" customWidth="1"/>
    <col min="2007" max="2007" width="23.375" style="140" customWidth="1"/>
    <col min="2008" max="2008" width="14.25" style="140" customWidth="1"/>
    <col min="2009" max="2261" width="9" style="140"/>
    <col min="2262" max="2262" width="17" style="140" bestFit="1" customWidth="1"/>
    <col min="2263" max="2263" width="23.375" style="140" customWidth="1"/>
    <col min="2264" max="2264" width="14.25" style="140" customWidth="1"/>
    <col min="2265" max="2517" width="9" style="140"/>
    <col min="2518" max="2518" width="17" style="140" bestFit="1" customWidth="1"/>
    <col min="2519" max="2519" width="23.375" style="140" customWidth="1"/>
    <col min="2520" max="2520" width="14.25" style="140" customWidth="1"/>
    <col min="2521" max="2773" width="9" style="140"/>
    <col min="2774" max="2774" width="17" style="140" bestFit="1" customWidth="1"/>
    <col min="2775" max="2775" width="23.375" style="140" customWidth="1"/>
    <col min="2776" max="2776" width="14.25" style="140" customWidth="1"/>
    <col min="2777" max="3029" width="9" style="140"/>
    <col min="3030" max="3030" width="17" style="140" bestFit="1" customWidth="1"/>
    <col min="3031" max="3031" width="23.375" style="140" customWidth="1"/>
    <col min="3032" max="3032" width="14.25" style="140" customWidth="1"/>
    <col min="3033" max="3285" width="9" style="140"/>
    <col min="3286" max="3286" width="17" style="140" bestFit="1" customWidth="1"/>
    <col min="3287" max="3287" width="23.375" style="140" customWidth="1"/>
    <col min="3288" max="3288" width="14.25" style="140" customWidth="1"/>
    <col min="3289" max="3541" width="9" style="140"/>
    <col min="3542" max="3542" width="17" style="140" bestFit="1" customWidth="1"/>
    <col min="3543" max="3543" width="23.375" style="140" customWidth="1"/>
    <col min="3544" max="3544" width="14.25" style="140" customWidth="1"/>
    <col min="3545" max="3797" width="9" style="140"/>
    <col min="3798" max="3798" width="17" style="140" bestFit="1" customWidth="1"/>
    <col min="3799" max="3799" width="23.375" style="140" customWidth="1"/>
    <col min="3800" max="3800" width="14.25" style="140" customWidth="1"/>
    <col min="3801" max="4053" width="9" style="140"/>
    <col min="4054" max="4054" width="17" style="140" bestFit="1" customWidth="1"/>
    <col min="4055" max="4055" width="23.375" style="140" customWidth="1"/>
    <col min="4056" max="4056" width="14.25" style="140" customWidth="1"/>
    <col min="4057" max="4309" width="9" style="140"/>
    <col min="4310" max="4310" width="17" style="140" bestFit="1" customWidth="1"/>
    <col min="4311" max="4311" width="23.375" style="140" customWidth="1"/>
    <col min="4312" max="4312" width="14.25" style="140" customWidth="1"/>
    <col min="4313" max="4565" width="9" style="140"/>
    <col min="4566" max="4566" width="17" style="140" bestFit="1" customWidth="1"/>
    <col min="4567" max="4567" width="23.375" style="140" customWidth="1"/>
    <col min="4568" max="4568" width="14.25" style="140" customWidth="1"/>
    <col min="4569" max="4821" width="9" style="140"/>
    <col min="4822" max="4822" width="17" style="140" bestFit="1" customWidth="1"/>
    <col min="4823" max="4823" width="23.375" style="140" customWidth="1"/>
    <col min="4824" max="4824" width="14.25" style="140" customWidth="1"/>
    <col min="4825" max="5077" width="9" style="140"/>
    <col min="5078" max="5078" width="17" style="140" bestFit="1" customWidth="1"/>
    <col min="5079" max="5079" width="23.375" style="140" customWidth="1"/>
    <col min="5080" max="5080" width="14.25" style="140" customWidth="1"/>
    <col min="5081" max="5333" width="9" style="140"/>
    <col min="5334" max="5334" width="17" style="140" bestFit="1" customWidth="1"/>
    <col min="5335" max="5335" width="23.375" style="140" customWidth="1"/>
    <col min="5336" max="5336" width="14.25" style="140" customWidth="1"/>
    <col min="5337" max="5589" width="9" style="140"/>
    <col min="5590" max="5590" width="17" style="140" bestFit="1" customWidth="1"/>
    <col min="5591" max="5591" width="23.375" style="140" customWidth="1"/>
    <col min="5592" max="5592" width="14.25" style="140" customWidth="1"/>
    <col min="5593" max="5845" width="9" style="140"/>
    <col min="5846" max="5846" width="17" style="140" bestFit="1" customWidth="1"/>
    <col min="5847" max="5847" width="23.375" style="140" customWidth="1"/>
    <col min="5848" max="5848" width="14.25" style="140" customWidth="1"/>
    <col min="5849" max="6101" width="9" style="140"/>
    <col min="6102" max="6102" width="17" style="140" bestFit="1" customWidth="1"/>
    <col min="6103" max="6103" width="23.375" style="140" customWidth="1"/>
    <col min="6104" max="6104" width="14.25" style="140" customWidth="1"/>
    <col min="6105" max="6357" width="9" style="140"/>
    <col min="6358" max="6358" width="17" style="140" bestFit="1" customWidth="1"/>
    <col min="6359" max="6359" width="23.375" style="140" customWidth="1"/>
    <col min="6360" max="6360" width="14.25" style="140" customWidth="1"/>
    <col min="6361" max="6613" width="9" style="140"/>
    <col min="6614" max="6614" width="17" style="140" bestFit="1" customWidth="1"/>
    <col min="6615" max="6615" width="23.375" style="140" customWidth="1"/>
    <col min="6616" max="6616" width="14.25" style="140" customWidth="1"/>
    <col min="6617" max="6869" width="9" style="140"/>
    <col min="6870" max="6870" width="17" style="140" bestFit="1" customWidth="1"/>
    <col min="6871" max="6871" width="23.375" style="140" customWidth="1"/>
    <col min="6872" max="6872" width="14.25" style="140" customWidth="1"/>
    <col min="6873" max="7125" width="9" style="140"/>
    <col min="7126" max="7126" width="17" style="140" bestFit="1" customWidth="1"/>
    <col min="7127" max="7127" width="23.375" style="140" customWidth="1"/>
    <col min="7128" max="7128" width="14.25" style="140" customWidth="1"/>
    <col min="7129" max="7381" width="9" style="140"/>
    <col min="7382" max="7382" width="17" style="140" bestFit="1" customWidth="1"/>
    <col min="7383" max="7383" width="23.375" style="140" customWidth="1"/>
    <col min="7384" max="7384" width="14.25" style="140" customWidth="1"/>
    <col min="7385" max="7637" width="9" style="140"/>
    <col min="7638" max="7638" width="17" style="140" bestFit="1" customWidth="1"/>
    <col min="7639" max="7639" width="23.375" style="140" customWidth="1"/>
    <col min="7640" max="7640" width="14.25" style="140" customWidth="1"/>
    <col min="7641" max="7893" width="9" style="140"/>
    <col min="7894" max="7894" width="17" style="140" bestFit="1" customWidth="1"/>
    <col min="7895" max="7895" width="23.375" style="140" customWidth="1"/>
    <col min="7896" max="7896" width="14.25" style="140" customWidth="1"/>
    <col min="7897" max="8149" width="9" style="140"/>
    <col min="8150" max="8150" width="17" style="140" bestFit="1" customWidth="1"/>
    <col min="8151" max="8151" width="23.375" style="140" customWidth="1"/>
    <col min="8152" max="8152" width="14.25" style="140" customWidth="1"/>
    <col min="8153" max="8405" width="9" style="140"/>
    <col min="8406" max="8406" width="17" style="140" bestFit="1" customWidth="1"/>
    <col min="8407" max="8407" width="23.375" style="140" customWidth="1"/>
    <col min="8408" max="8408" width="14.25" style="140" customWidth="1"/>
    <col min="8409" max="8661" width="9" style="140"/>
    <col min="8662" max="8662" width="17" style="140" bestFit="1" customWidth="1"/>
    <col min="8663" max="8663" width="23.375" style="140" customWidth="1"/>
    <col min="8664" max="8664" width="14.25" style="140" customWidth="1"/>
    <col min="8665" max="8917" width="9" style="140"/>
    <col min="8918" max="8918" width="17" style="140" bestFit="1" customWidth="1"/>
    <col min="8919" max="8919" width="23.375" style="140" customWidth="1"/>
    <col min="8920" max="8920" width="14.25" style="140" customWidth="1"/>
    <col min="8921" max="9173" width="9" style="140"/>
    <col min="9174" max="9174" width="17" style="140" bestFit="1" customWidth="1"/>
    <col min="9175" max="9175" width="23.375" style="140" customWidth="1"/>
    <col min="9176" max="9176" width="14.25" style="140" customWidth="1"/>
    <col min="9177" max="9429" width="9" style="140"/>
    <col min="9430" max="9430" width="17" style="140" bestFit="1" customWidth="1"/>
    <col min="9431" max="9431" width="23.375" style="140" customWidth="1"/>
    <col min="9432" max="9432" width="14.25" style="140" customWidth="1"/>
    <col min="9433" max="9685" width="9" style="140"/>
    <col min="9686" max="9686" width="17" style="140" bestFit="1" customWidth="1"/>
    <col min="9687" max="9687" width="23.375" style="140" customWidth="1"/>
    <col min="9688" max="9688" width="14.25" style="140" customWidth="1"/>
    <col min="9689" max="9941" width="9" style="140"/>
    <col min="9942" max="9942" width="17" style="140" bestFit="1" customWidth="1"/>
    <col min="9943" max="9943" width="23.375" style="140" customWidth="1"/>
    <col min="9944" max="9944" width="14.25" style="140" customWidth="1"/>
    <col min="9945" max="10197" width="9" style="140"/>
    <col min="10198" max="10198" width="17" style="140" bestFit="1" customWidth="1"/>
    <col min="10199" max="10199" width="23.375" style="140" customWidth="1"/>
    <col min="10200" max="10200" width="14.25" style="140" customWidth="1"/>
    <col min="10201" max="10453" width="9" style="140"/>
    <col min="10454" max="10454" width="17" style="140" bestFit="1" customWidth="1"/>
    <col min="10455" max="10455" width="23.375" style="140" customWidth="1"/>
    <col min="10456" max="10456" width="14.25" style="140" customWidth="1"/>
    <col min="10457" max="10709" width="9" style="140"/>
    <col min="10710" max="10710" width="17" style="140" bestFit="1" customWidth="1"/>
    <col min="10711" max="10711" width="23.375" style="140" customWidth="1"/>
    <col min="10712" max="10712" width="14.25" style="140" customWidth="1"/>
    <col min="10713" max="10965" width="9" style="140"/>
    <col min="10966" max="10966" width="17" style="140" bestFit="1" customWidth="1"/>
    <col min="10967" max="10967" width="23.375" style="140" customWidth="1"/>
    <col min="10968" max="10968" width="14.25" style="140" customWidth="1"/>
    <col min="10969" max="11221" width="9" style="140"/>
    <col min="11222" max="11222" width="17" style="140" bestFit="1" customWidth="1"/>
    <col min="11223" max="11223" width="23.375" style="140" customWidth="1"/>
    <col min="11224" max="11224" width="14.25" style="140" customWidth="1"/>
    <col min="11225" max="11477" width="9" style="140"/>
    <col min="11478" max="11478" width="17" style="140" bestFit="1" customWidth="1"/>
    <col min="11479" max="11479" width="23.375" style="140" customWidth="1"/>
    <col min="11480" max="11480" width="14.25" style="140" customWidth="1"/>
    <col min="11481" max="11733" width="9" style="140"/>
    <col min="11734" max="11734" width="17" style="140" bestFit="1" customWidth="1"/>
    <col min="11735" max="11735" width="23.375" style="140" customWidth="1"/>
    <col min="11736" max="11736" width="14.25" style="140" customWidth="1"/>
    <col min="11737" max="11989" width="9" style="140"/>
    <col min="11990" max="11990" width="17" style="140" bestFit="1" customWidth="1"/>
    <col min="11991" max="11991" width="23.375" style="140" customWidth="1"/>
    <col min="11992" max="11992" width="14.25" style="140" customWidth="1"/>
    <col min="11993" max="12245" width="9" style="140"/>
    <col min="12246" max="12246" width="17" style="140" bestFit="1" customWidth="1"/>
    <col min="12247" max="12247" width="23.375" style="140" customWidth="1"/>
    <col min="12248" max="12248" width="14.25" style="140" customWidth="1"/>
    <col min="12249" max="12501" width="9" style="140"/>
    <col min="12502" max="12502" width="17" style="140" bestFit="1" customWidth="1"/>
    <col min="12503" max="12503" width="23.375" style="140" customWidth="1"/>
    <col min="12504" max="12504" width="14.25" style="140" customWidth="1"/>
    <col min="12505" max="12757" width="9" style="140"/>
    <col min="12758" max="12758" width="17" style="140" bestFit="1" customWidth="1"/>
    <col min="12759" max="12759" width="23.375" style="140" customWidth="1"/>
    <col min="12760" max="12760" width="14.25" style="140" customWidth="1"/>
    <col min="12761" max="13013" width="9" style="140"/>
    <col min="13014" max="13014" width="17" style="140" bestFit="1" customWidth="1"/>
    <col min="13015" max="13015" width="23.375" style="140" customWidth="1"/>
    <col min="13016" max="13016" width="14.25" style="140" customWidth="1"/>
    <col min="13017" max="13269" width="9" style="140"/>
    <col min="13270" max="13270" width="17" style="140" bestFit="1" customWidth="1"/>
    <col min="13271" max="13271" width="23.375" style="140" customWidth="1"/>
    <col min="13272" max="13272" width="14.25" style="140" customWidth="1"/>
    <col min="13273" max="13525" width="9" style="140"/>
    <col min="13526" max="13526" width="17" style="140" bestFit="1" customWidth="1"/>
    <col min="13527" max="13527" width="23.375" style="140" customWidth="1"/>
    <col min="13528" max="13528" width="14.25" style="140" customWidth="1"/>
    <col min="13529" max="13781" width="9" style="140"/>
    <col min="13782" max="13782" width="17" style="140" bestFit="1" customWidth="1"/>
    <col min="13783" max="13783" width="23.375" style="140" customWidth="1"/>
    <col min="13784" max="13784" width="14.25" style="140" customWidth="1"/>
    <col min="13785" max="14037" width="9" style="140"/>
    <col min="14038" max="14038" width="17" style="140" bestFit="1" customWidth="1"/>
    <col min="14039" max="14039" width="23.375" style="140" customWidth="1"/>
    <col min="14040" max="14040" width="14.25" style="140" customWidth="1"/>
    <col min="14041" max="14293" width="9" style="140"/>
    <col min="14294" max="14294" width="17" style="140" bestFit="1" customWidth="1"/>
    <col min="14295" max="14295" width="23.375" style="140" customWidth="1"/>
    <col min="14296" max="14296" width="14.25" style="140" customWidth="1"/>
    <col min="14297" max="14549" width="9" style="140"/>
    <col min="14550" max="14550" width="17" style="140" bestFit="1" customWidth="1"/>
    <col min="14551" max="14551" width="23.375" style="140" customWidth="1"/>
    <col min="14552" max="14552" width="14.25" style="140" customWidth="1"/>
    <col min="14553" max="14805" width="9" style="140"/>
    <col min="14806" max="14806" width="17" style="140" bestFit="1" customWidth="1"/>
    <col min="14807" max="14807" width="23.375" style="140" customWidth="1"/>
    <col min="14808" max="14808" width="14.25" style="140" customWidth="1"/>
    <col min="14809" max="15061" width="9" style="140"/>
    <col min="15062" max="15062" width="17" style="140" bestFit="1" customWidth="1"/>
    <col min="15063" max="15063" width="23.375" style="140" customWidth="1"/>
    <col min="15064" max="15064" width="14.25" style="140" customWidth="1"/>
    <col min="15065" max="15317" width="9" style="140"/>
    <col min="15318" max="15318" width="17" style="140" bestFit="1" customWidth="1"/>
    <col min="15319" max="15319" width="23.375" style="140" customWidth="1"/>
    <col min="15320" max="15320" width="14.25" style="140" customWidth="1"/>
    <col min="15321" max="15573" width="9" style="140"/>
    <col min="15574" max="15574" width="17" style="140" bestFit="1" customWidth="1"/>
    <col min="15575" max="15575" width="23.375" style="140" customWidth="1"/>
    <col min="15576" max="15576" width="14.25" style="140" customWidth="1"/>
    <col min="15577" max="15829" width="9" style="140"/>
    <col min="15830" max="15830" width="17" style="140" bestFit="1" customWidth="1"/>
    <col min="15831" max="15831" width="23.375" style="140" customWidth="1"/>
    <col min="15832" max="15832" width="14.25" style="140" customWidth="1"/>
    <col min="15833" max="16085" width="9" style="140"/>
    <col min="16086" max="16086" width="17" style="140" bestFit="1" customWidth="1"/>
    <col min="16087" max="16087" width="23.375" style="140" customWidth="1"/>
    <col min="16088" max="16088" width="14.25" style="140" customWidth="1"/>
    <col min="16089" max="16384" width="9" style="140"/>
  </cols>
  <sheetData>
    <row r="1" spans="1:12" ht="27.75" customHeight="1" thickBot="1" x14ac:dyDescent="0.35">
      <c r="A1" s="343" t="s">
        <v>164</v>
      </c>
      <c r="B1" s="344"/>
      <c r="C1" s="345" t="str">
        <f>IF(LEN(부서명)=0," ☜ 부서명을 입력하세요. ", "")</f>
        <v xml:space="preserve"> ☜ 부서명을 입력하세요. </v>
      </c>
      <c r="D1" s="346"/>
      <c r="E1" s="346"/>
      <c r="F1" s="346"/>
      <c r="G1" s="346"/>
      <c r="H1" s="346"/>
      <c r="I1" s="346"/>
      <c r="J1" s="346"/>
      <c r="K1" s="346"/>
      <c r="L1" s="346"/>
    </row>
    <row r="2" spans="1:12" ht="20.100000000000001" customHeight="1" thickBot="1" x14ac:dyDescent="0.35">
      <c r="A2" s="342" t="s">
        <v>43</v>
      </c>
      <c r="B2" s="340"/>
      <c r="C2" s="341"/>
      <c r="D2" s="341"/>
      <c r="E2" s="341"/>
      <c r="F2" s="341"/>
      <c r="G2" s="341"/>
      <c r="H2" s="341"/>
      <c r="I2" s="341"/>
      <c r="J2" s="341"/>
      <c r="K2" s="341"/>
      <c r="L2" s="341"/>
    </row>
    <row r="3" spans="1:12" s="141" customFormat="1" ht="20.100000000000001" customHeight="1" x14ac:dyDescent="0.3">
      <c r="A3" s="117" t="s">
        <v>9</v>
      </c>
      <c r="B3" s="118" t="s">
        <v>161</v>
      </c>
      <c r="C3" s="118" t="s">
        <v>6</v>
      </c>
      <c r="D3" s="118" t="s">
        <v>129</v>
      </c>
      <c r="E3" s="118"/>
      <c r="F3" s="118"/>
      <c r="G3" s="118"/>
      <c r="H3" s="118"/>
      <c r="I3" s="118"/>
      <c r="J3" s="118"/>
      <c r="K3" s="118"/>
      <c r="L3" s="119"/>
    </row>
    <row r="4" spans="1:12" s="142" customFormat="1" ht="20.100000000000001" customHeight="1" x14ac:dyDescent="0.3">
      <c r="A4" s="120" t="s">
        <v>9</v>
      </c>
      <c r="B4" s="121" t="s">
        <v>146</v>
      </c>
      <c r="C4" s="121" t="s">
        <v>145</v>
      </c>
      <c r="D4" s="121" t="s">
        <v>149</v>
      </c>
      <c r="E4" s="122"/>
      <c r="F4" s="122"/>
      <c r="G4" s="122"/>
      <c r="H4" s="122"/>
      <c r="I4" s="122"/>
      <c r="J4" s="122"/>
      <c r="K4" s="122"/>
      <c r="L4" s="123"/>
    </row>
    <row r="5" spans="1:12" s="142" customFormat="1" ht="20.100000000000001" customHeight="1" x14ac:dyDescent="0.3">
      <c r="A5" s="120"/>
      <c r="B5" s="122" t="s">
        <v>147</v>
      </c>
      <c r="C5" s="121" t="s">
        <v>56</v>
      </c>
      <c r="D5" s="121" t="s">
        <v>150</v>
      </c>
      <c r="E5" s="121"/>
      <c r="F5" s="121"/>
      <c r="G5" s="121"/>
      <c r="H5" s="121"/>
      <c r="I5" s="121"/>
      <c r="J5" s="121"/>
      <c r="K5" s="121"/>
      <c r="L5" s="124"/>
    </row>
    <row r="6" spans="1:12" s="143" customFormat="1" ht="20.100000000000001" customHeight="1" x14ac:dyDescent="0.3">
      <c r="A6" s="125"/>
      <c r="B6" s="122" t="s">
        <v>148</v>
      </c>
      <c r="C6" s="122"/>
      <c r="D6" s="121" t="s">
        <v>151</v>
      </c>
      <c r="E6" s="122"/>
      <c r="F6" s="122"/>
      <c r="G6" s="122"/>
      <c r="H6" s="122"/>
      <c r="I6" s="122"/>
      <c r="J6" s="122"/>
      <c r="K6" s="122"/>
      <c r="L6" s="123"/>
    </row>
    <row r="7" spans="1:12" ht="20.100000000000001" customHeight="1" x14ac:dyDescent="0.3">
      <c r="A7" s="125"/>
      <c r="B7" s="122" t="s">
        <v>152</v>
      </c>
      <c r="C7" s="122"/>
      <c r="D7" s="121"/>
      <c r="E7" s="122"/>
      <c r="F7" s="122"/>
      <c r="G7" s="122"/>
      <c r="H7" s="122"/>
      <c r="I7" s="122"/>
      <c r="J7" s="122"/>
      <c r="K7" s="122"/>
      <c r="L7" s="123"/>
    </row>
    <row r="8" spans="1:12" ht="20.100000000000001" customHeight="1" x14ac:dyDescent="0.3">
      <c r="A8" s="125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3"/>
    </row>
    <row r="9" spans="1:12" ht="20.100000000000001" customHeight="1" thickBot="1" x14ac:dyDescent="0.35">
      <c r="A9" s="126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8"/>
    </row>
    <row r="10" spans="1:12" ht="20.100000000000001" customHeight="1" thickBot="1" x14ac:dyDescent="0.35"/>
    <row r="11" spans="1:12" ht="20.100000000000001" customHeight="1" thickBot="1" x14ac:dyDescent="0.35">
      <c r="A11" s="144" t="s">
        <v>44</v>
      </c>
      <c r="B11" s="338" t="str">
        <f>IF(COUNTA($A$13:$L$18)&gt;28," (오류) 등록한 지출항목이 "&amp;COUNTA($A$13:$L$18)&amp;"개입니다. 지출항목은 최대 28개를 초과하면 회계보고서를 자동 생성할 수 없습니다.",IF(COUNTIFS($A$20:$L$20,"오류")&gt;0," (오류) 지출코드 '관'과 '지출항목' 모두를 입력해야 합니다.",""))</f>
        <v/>
      </c>
      <c r="C11" s="339"/>
      <c r="D11" s="339"/>
      <c r="E11" s="339"/>
      <c r="F11" s="339"/>
      <c r="G11" s="339"/>
      <c r="H11" s="339"/>
      <c r="I11" s="339"/>
      <c r="J11" s="339"/>
      <c r="K11" s="339"/>
      <c r="L11" s="339"/>
    </row>
    <row r="12" spans="1:12" s="141" customFormat="1" ht="20.100000000000001" customHeight="1" x14ac:dyDescent="0.3">
      <c r="A12" s="113" t="s">
        <v>166</v>
      </c>
      <c r="B12" s="114" t="s">
        <v>165</v>
      </c>
      <c r="C12" s="115" t="s">
        <v>167</v>
      </c>
      <c r="D12" s="115" t="s">
        <v>168</v>
      </c>
      <c r="E12" s="115" t="s">
        <v>169</v>
      </c>
      <c r="F12" s="115" t="s">
        <v>170</v>
      </c>
      <c r="G12" s="115" t="s">
        <v>171</v>
      </c>
      <c r="H12" s="115" t="s">
        <v>172</v>
      </c>
      <c r="I12" s="115" t="s">
        <v>173</v>
      </c>
      <c r="J12" s="115" t="s">
        <v>174</v>
      </c>
      <c r="K12" s="115" t="s">
        <v>175</v>
      </c>
      <c r="L12" s="116"/>
    </row>
    <row r="13" spans="1:12" ht="20.100000000000001" customHeight="1" x14ac:dyDescent="0.3">
      <c r="A13" s="130" t="s">
        <v>176</v>
      </c>
      <c r="B13" s="131" t="s">
        <v>165</v>
      </c>
      <c r="C13" s="132" t="s">
        <v>177</v>
      </c>
      <c r="D13" s="132" t="s">
        <v>168</v>
      </c>
      <c r="E13" s="132" t="s">
        <v>169</v>
      </c>
      <c r="F13" s="132" t="s">
        <v>178</v>
      </c>
      <c r="G13" s="132" t="s">
        <v>171</v>
      </c>
      <c r="H13" s="132" t="s">
        <v>172</v>
      </c>
      <c r="I13" s="132" t="s">
        <v>179</v>
      </c>
      <c r="J13" s="132" t="s">
        <v>180</v>
      </c>
      <c r="K13" s="132" t="s">
        <v>181</v>
      </c>
      <c r="L13" s="133"/>
    </row>
    <row r="14" spans="1:12" s="143" customFormat="1" ht="20.100000000000001" customHeight="1" x14ac:dyDescent="0.3">
      <c r="A14" s="130" t="s">
        <v>182</v>
      </c>
      <c r="B14" s="131"/>
      <c r="C14" s="131" t="s">
        <v>183</v>
      </c>
      <c r="D14" s="131"/>
      <c r="E14" s="131"/>
      <c r="F14" s="131" t="s">
        <v>184</v>
      </c>
      <c r="G14" s="131"/>
      <c r="H14" s="131"/>
      <c r="I14" s="131" t="s">
        <v>185</v>
      </c>
      <c r="J14" s="131" t="s">
        <v>186</v>
      </c>
      <c r="K14" s="131" t="s">
        <v>187</v>
      </c>
      <c r="L14" s="133"/>
    </row>
    <row r="15" spans="1:12" ht="20.100000000000001" customHeight="1" x14ac:dyDescent="0.3">
      <c r="A15" s="130"/>
      <c r="B15" s="131"/>
      <c r="C15" s="131"/>
      <c r="D15" s="131"/>
      <c r="E15" s="131"/>
      <c r="F15" s="131"/>
      <c r="G15" s="131"/>
      <c r="H15" s="131"/>
      <c r="I15" s="131"/>
      <c r="J15" s="131"/>
      <c r="K15" s="131" t="s">
        <v>188</v>
      </c>
      <c r="L15" s="133"/>
    </row>
    <row r="16" spans="1:12" ht="20.100000000000001" customHeight="1" x14ac:dyDescent="0.3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3"/>
    </row>
    <row r="17" spans="1:12" ht="20.100000000000001" customHeight="1" x14ac:dyDescent="0.3">
      <c r="A17" s="130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3"/>
    </row>
    <row r="18" spans="1:12" s="143" customFormat="1" ht="20.100000000000001" customHeight="1" thickBot="1" x14ac:dyDescent="0.35">
      <c r="A18" s="134"/>
      <c r="B18" s="135"/>
      <c r="C18" s="136"/>
      <c r="D18" s="136"/>
      <c r="E18" s="136"/>
      <c r="F18" s="136"/>
      <c r="G18" s="136"/>
      <c r="H18" s="136"/>
      <c r="I18" s="136"/>
      <c r="J18" s="136"/>
      <c r="K18" s="136"/>
      <c r="L18" s="137"/>
    </row>
    <row r="19" spans="1:12" s="143" customFormat="1" ht="20.100000000000001" customHeight="1" x14ac:dyDescent="0.3">
      <c r="A19" s="138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</row>
    <row r="20" spans="1:12" s="143" customFormat="1" ht="20.100000000000001" customHeight="1" x14ac:dyDescent="0.3">
      <c r="A20" s="171" t="str">
        <f>IF(ISBLANK(A12)+COUNTA(A13:A18)=0,"오류",IF(ISBLANK(A12)*COUNTA(A13:A18)=0,"","오류"))</f>
        <v/>
      </c>
      <c r="B20" s="171" t="str">
        <f t="shared" ref="B20:L20" si="0">IF(ISBLANK(B12)+COUNTA(B13:B18)=0,"오류",IF(ISBLANK(B12)*COUNTA(B13:B18)=0,"","오류"))</f>
        <v/>
      </c>
      <c r="C20" s="171" t="str">
        <f t="shared" si="0"/>
        <v/>
      </c>
      <c r="D20" s="171" t="str">
        <f t="shared" si="0"/>
        <v/>
      </c>
      <c r="E20" s="171" t="str">
        <f t="shared" si="0"/>
        <v/>
      </c>
      <c r="F20" s="171" t="str">
        <f t="shared" si="0"/>
        <v/>
      </c>
      <c r="G20" s="171" t="str">
        <f t="shared" si="0"/>
        <v/>
      </c>
      <c r="H20" s="171" t="str">
        <f t="shared" si="0"/>
        <v/>
      </c>
      <c r="I20" s="171" t="str">
        <f t="shared" si="0"/>
        <v/>
      </c>
      <c r="J20" s="171" t="str">
        <f t="shared" si="0"/>
        <v/>
      </c>
      <c r="K20" s="171" t="str">
        <f t="shared" si="0"/>
        <v/>
      </c>
      <c r="L20" s="171" t="str">
        <f t="shared" si="0"/>
        <v/>
      </c>
    </row>
    <row r="21" spans="1:12" s="143" customFormat="1" ht="20.100000000000001" customHeight="1" x14ac:dyDescent="0.3">
      <c r="A21" s="171">
        <f>COUNTA(A13:A18)</f>
        <v>2</v>
      </c>
      <c r="B21" s="171">
        <f t="shared" ref="B21:L21" si="1">COUNTA(B13:B18)</f>
        <v>1</v>
      </c>
      <c r="C21" s="171">
        <f t="shared" si="1"/>
        <v>2</v>
      </c>
      <c r="D21" s="171">
        <f t="shared" si="1"/>
        <v>1</v>
      </c>
      <c r="E21" s="171">
        <f t="shared" si="1"/>
        <v>1</v>
      </c>
      <c r="F21" s="171">
        <f t="shared" si="1"/>
        <v>2</v>
      </c>
      <c r="G21" s="171">
        <f t="shared" si="1"/>
        <v>1</v>
      </c>
      <c r="H21" s="171">
        <f t="shared" si="1"/>
        <v>1</v>
      </c>
      <c r="I21" s="171">
        <f t="shared" si="1"/>
        <v>2</v>
      </c>
      <c r="J21" s="171">
        <f t="shared" si="1"/>
        <v>2</v>
      </c>
      <c r="K21" s="171">
        <f t="shared" si="1"/>
        <v>3</v>
      </c>
      <c r="L21" s="171">
        <f t="shared" si="1"/>
        <v>0</v>
      </c>
    </row>
    <row r="22" spans="1:12" s="143" customFormat="1" ht="20.100000000000001" customHeight="1" x14ac:dyDescent="0.3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</row>
    <row r="23" spans="1:12" s="143" customFormat="1" ht="20.100000000000001" customHeight="1" x14ac:dyDescent="0.3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</row>
    <row r="24" spans="1:12" s="143" customFormat="1" ht="20.100000000000001" customHeight="1" x14ac:dyDescent="0.3">
      <c r="A24" s="138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</row>
    <row r="25" spans="1:12" s="143" customFormat="1" ht="20.100000000000001" customHeight="1" x14ac:dyDescent="0.3">
      <c r="A25" s="138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</row>
    <row r="26" spans="1:12" s="143" customFormat="1" ht="20.100000000000001" customHeight="1" x14ac:dyDescent="0.3">
      <c r="A26" s="138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</row>
    <row r="27" spans="1:12" s="143" customFormat="1" ht="20.100000000000001" customHeight="1" x14ac:dyDescent="0.3">
      <c r="A27" s="138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</row>
    <row r="28" spans="1:12" s="143" customFormat="1" ht="20.100000000000001" customHeight="1" x14ac:dyDescent="0.3">
      <c r="A28" s="138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</row>
    <row r="29" spans="1:12" s="143" customFormat="1" ht="20.100000000000001" customHeight="1" x14ac:dyDescent="0.3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</row>
    <row r="30" spans="1:12" ht="20.100000000000001" customHeight="1" x14ac:dyDescent="0.3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</row>
    <row r="31" spans="1:12" s="147" customFormat="1" ht="20.100000000000001" customHeight="1" thickBot="1" x14ac:dyDescent="0.35">
      <c r="A31" s="146">
        <f>ROW(회계보고서!F5)</f>
        <v>5</v>
      </c>
    </row>
    <row r="32" spans="1:12" s="147" customFormat="1" ht="20.100000000000001" customHeight="1" x14ac:dyDescent="0.3">
      <c r="A32" s="148">
        <f>IF(LEN(A13)&gt;0,A31+1,0)</f>
        <v>6</v>
      </c>
      <c r="B32" s="149" t="str">
        <f t="shared" ref="B32:B37" si="2">IF(LEN(A13)&gt;0,A13,"")</f>
        <v>수/토/주일간식</v>
      </c>
      <c r="C32" s="146">
        <f>IF(SUM(A32:A37)&gt;0,MIN(A32:A37))</f>
        <v>6</v>
      </c>
      <c r="D32" s="150" t="str">
        <f>IF(SUM(A32:A37)&gt;0,A12)</f>
        <v>간식/식대비</v>
      </c>
    </row>
    <row r="33" spans="1:4" s="147" customFormat="1" ht="20.100000000000001" customHeight="1" x14ac:dyDescent="0.3">
      <c r="A33" s="151">
        <f>IF(LEN(A14)&gt;0,MAX($A$32:A32)+1,"")</f>
        <v>7</v>
      </c>
      <c r="B33" s="149" t="str">
        <f t="shared" si="2"/>
        <v>임원식사</v>
      </c>
      <c r="C33" s="146"/>
      <c r="D33" s="146"/>
    </row>
    <row r="34" spans="1:4" s="147" customFormat="1" ht="20.100000000000001" customHeight="1" x14ac:dyDescent="0.3">
      <c r="A34" s="151" t="str">
        <f>IF(LEN(A15)&gt;0,MAX($A$32:A33)+1,"")</f>
        <v/>
      </c>
      <c r="B34" s="149" t="str">
        <f t="shared" si="2"/>
        <v/>
      </c>
      <c r="C34" s="146"/>
      <c r="D34" s="146"/>
    </row>
    <row r="35" spans="1:4" s="147" customFormat="1" ht="20.100000000000001" customHeight="1" x14ac:dyDescent="0.3">
      <c r="A35" s="151" t="str">
        <f>IF(LEN(A16)&gt;0,MAX($A$32:A34)+1,"")</f>
        <v/>
      </c>
      <c r="B35" s="149" t="str">
        <f t="shared" si="2"/>
        <v/>
      </c>
      <c r="C35" s="146"/>
      <c r="D35" s="146"/>
    </row>
    <row r="36" spans="1:4" s="147" customFormat="1" ht="20.100000000000001" customHeight="1" x14ac:dyDescent="0.3">
      <c r="A36" s="151" t="str">
        <f>IF(LEN(A17)&gt;0,MAX($A$32:A35)+1,"")</f>
        <v/>
      </c>
      <c r="B36" s="149" t="str">
        <f t="shared" si="2"/>
        <v/>
      </c>
      <c r="C36" s="146"/>
      <c r="D36" s="146"/>
    </row>
    <row r="37" spans="1:4" s="147" customFormat="1" ht="20.100000000000001" customHeight="1" x14ac:dyDescent="0.3">
      <c r="A37" s="151" t="str">
        <f>IF(LEN(A18)&gt;0,MAX($A$32:A36)+1,"")</f>
        <v/>
      </c>
      <c r="B37" s="149" t="str">
        <f t="shared" si="2"/>
        <v/>
      </c>
      <c r="C37" s="146"/>
      <c r="D37" s="146"/>
    </row>
    <row r="38" spans="1:4" s="147" customFormat="1" ht="20.100000000000001" customHeight="1" x14ac:dyDescent="0.3">
      <c r="A38" s="152">
        <f>IF(LEN(B13)&gt;0,MAX($A$32:A37)+1,"")</f>
        <v>8</v>
      </c>
      <c r="B38" s="149" t="str">
        <f t="shared" ref="B38:B43" si="3">IF(LEN(B13)&gt;0,B13,"")</f>
        <v>여름수련회</v>
      </c>
      <c r="C38" s="146">
        <f>IF(SUM(A38:A43)&gt;0,MIN(A38:A43))</f>
        <v>8</v>
      </c>
      <c r="D38" s="150" t="str">
        <f>IF(SUM(A38:A43)&gt;0,B12)</f>
        <v>여름수련회</v>
      </c>
    </row>
    <row r="39" spans="1:4" s="147" customFormat="1" ht="20.100000000000001" customHeight="1" x14ac:dyDescent="0.3">
      <c r="A39" s="152" t="str">
        <f>IF(LEN(B14)&gt;0,MAX($A$32:A38)+1,"")</f>
        <v/>
      </c>
      <c r="B39" s="149" t="str">
        <f t="shared" si="3"/>
        <v/>
      </c>
      <c r="C39" s="146"/>
      <c r="D39" s="146"/>
    </row>
    <row r="40" spans="1:4" ht="20.100000000000001" customHeight="1" x14ac:dyDescent="0.3">
      <c r="A40" s="152" t="str">
        <f>IF(LEN(B15)&gt;0,MAX($A$32:A39)+1,"")</f>
        <v/>
      </c>
      <c r="B40" s="149" t="str">
        <f t="shared" si="3"/>
        <v/>
      </c>
      <c r="C40" s="146"/>
      <c r="D40" s="145"/>
    </row>
    <row r="41" spans="1:4" ht="20.100000000000001" customHeight="1" x14ac:dyDescent="0.3">
      <c r="A41" s="152" t="str">
        <f>IF(LEN(B16)&gt;0,MAX($A$32:A40)+1,"")</f>
        <v/>
      </c>
      <c r="B41" s="149" t="str">
        <f t="shared" si="3"/>
        <v/>
      </c>
      <c r="C41" s="146"/>
      <c r="D41" s="145"/>
    </row>
    <row r="42" spans="1:4" ht="20.100000000000001" customHeight="1" x14ac:dyDescent="0.3">
      <c r="A42" s="152" t="str">
        <f>IF(LEN(B17)&gt;0,MAX($A$32:A41)+1,"")</f>
        <v/>
      </c>
      <c r="B42" s="149" t="str">
        <f t="shared" si="3"/>
        <v/>
      </c>
      <c r="C42" s="146"/>
      <c r="D42" s="145"/>
    </row>
    <row r="43" spans="1:4" ht="20.100000000000001" customHeight="1" x14ac:dyDescent="0.3">
      <c r="A43" s="152" t="str">
        <f>IF(LEN(B18)&gt;0,MAX($A$32:A42)+1,"")</f>
        <v/>
      </c>
      <c r="B43" s="149" t="str">
        <f t="shared" si="3"/>
        <v/>
      </c>
      <c r="C43" s="146"/>
      <c r="D43" s="145"/>
    </row>
    <row r="44" spans="1:4" ht="20.100000000000001" customHeight="1" x14ac:dyDescent="0.3">
      <c r="A44" s="152">
        <f>IF(LEN(C13)&gt;0,MAX($A$32:A43)+1,"")</f>
        <v>9</v>
      </c>
      <c r="B44" s="149" t="str">
        <f t="shared" ref="B44:B49" si="4">IF(LEN(C13)&gt;0,C13,"")</f>
        <v>찬양축제</v>
      </c>
      <c r="C44" s="146">
        <f>IF(SUM(A44:A49)&gt;0,MIN(A44:A49))</f>
        <v>9</v>
      </c>
      <c r="D44" s="150" t="str">
        <f>IF(SUM(A44:A49)&gt;0,C12)</f>
        <v>찬양축제/신년기도회</v>
      </c>
    </row>
    <row r="45" spans="1:4" ht="20.100000000000001" customHeight="1" x14ac:dyDescent="0.3">
      <c r="A45" s="152">
        <f>IF(LEN(C14)&gt;0,MAX($A$32:A44)+1,"")</f>
        <v>10</v>
      </c>
      <c r="B45" s="149" t="str">
        <f t="shared" si="4"/>
        <v>신년기도회</v>
      </c>
      <c r="C45" s="146"/>
      <c r="D45" s="145"/>
    </row>
    <row r="46" spans="1:4" ht="20.100000000000001" customHeight="1" x14ac:dyDescent="0.3">
      <c r="A46" s="152" t="str">
        <f>IF(LEN(C15)&gt;0,MAX($A$32:A45)+1,"")</f>
        <v/>
      </c>
      <c r="B46" s="149" t="str">
        <f t="shared" si="4"/>
        <v/>
      </c>
      <c r="C46" s="146"/>
      <c r="D46" s="145"/>
    </row>
    <row r="47" spans="1:4" ht="20.100000000000001" customHeight="1" x14ac:dyDescent="0.3">
      <c r="A47" s="152" t="str">
        <f>IF(LEN(C16)&gt;0,MAX($A$32:A46)+1,"")</f>
        <v/>
      </c>
      <c r="B47" s="149" t="str">
        <f t="shared" si="4"/>
        <v/>
      </c>
      <c r="C47" s="146"/>
      <c r="D47" s="145"/>
    </row>
    <row r="48" spans="1:4" ht="20.100000000000001" customHeight="1" x14ac:dyDescent="0.3">
      <c r="A48" s="152" t="str">
        <f>IF(LEN(C17)&gt;0,MAX($A$32:A47)+1,"")</f>
        <v/>
      </c>
      <c r="B48" s="149" t="str">
        <f t="shared" si="4"/>
        <v/>
      </c>
      <c r="C48" s="146"/>
      <c r="D48" s="145"/>
    </row>
    <row r="49" spans="1:12" s="143" customFormat="1" ht="20.100000000000001" customHeight="1" x14ac:dyDescent="0.3">
      <c r="A49" s="152" t="str">
        <f>IF(LEN(C18)&gt;0,MAX($A$32:A48)+1,"")</f>
        <v/>
      </c>
      <c r="B49" s="149" t="str">
        <f t="shared" si="4"/>
        <v/>
      </c>
      <c r="C49" s="146"/>
      <c r="D49" s="145"/>
      <c r="E49" s="139"/>
      <c r="F49" s="153"/>
      <c r="G49" s="153"/>
      <c r="H49" s="153"/>
      <c r="I49" s="153"/>
      <c r="J49" s="153"/>
      <c r="K49" s="153"/>
      <c r="L49" s="153"/>
    </row>
    <row r="50" spans="1:12" ht="20.100000000000001" customHeight="1" x14ac:dyDescent="0.3">
      <c r="A50" s="152">
        <f>IF(LEN(D13)&gt;0,MAX($A$32:A49)+1,"")</f>
        <v>11</v>
      </c>
      <c r="B50" s="149" t="str">
        <f t="shared" ref="B50:B55" si="5">IF(LEN(D13)&gt;0,D13,"")</f>
        <v>새가족환영회</v>
      </c>
      <c r="C50" s="146">
        <f>IF(SUM(A50:A55)&gt;0,MIN(A50:A55))</f>
        <v>11</v>
      </c>
      <c r="D50" s="150" t="str">
        <f>IF(SUM(A50:A55)&gt;0,D12)</f>
        <v>새가족환영회</v>
      </c>
    </row>
    <row r="51" spans="1:12" ht="20.100000000000001" customHeight="1" x14ac:dyDescent="0.3">
      <c r="A51" s="152" t="str">
        <f>IF(LEN(D14)&gt;0,MAX($A$32:A50)+1,"")</f>
        <v/>
      </c>
      <c r="B51" s="149" t="str">
        <f t="shared" si="5"/>
        <v/>
      </c>
      <c r="C51" s="146"/>
      <c r="D51" s="145"/>
    </row>
    <row r="52" spans="1:12" ht="20.100000000000001" customHeight="1" x14ac:dyDescent="0.3">
      <c r="A52" s="152" t="str">
        <f>IF(LEN(D15)&gt;0,MAX($A$32:A51)+1,"")</f>
        <v/>
      </c>
      <c r="B52" s="149" t="str">
        <f t="shared" si="5"/>
        <v/>
      </c>
      <c r="C52" s="146"/>
      <c r="D52" s="145"/>
    </row>
    <row r="53" spans="1:12" s="143" customFormat="1" ht="20.100000000000001" customHeight="1" x14ac:dyDescent="0.3">
      <c r="A53" s="152" t="str">
        <f>IF(LEN(D16)&gt;0,MAX($A$32:A52)+1,"")</f>
        <v/>
      </c>
      <c r="B53" s="149" t="str">
        <f t="shared" si="5"/>
        <v/>
      </c>
      <c r="C53" s="146"/>
      <c r="D53" s="145"/>
      <c r="E53" s="139"/>
      <c r="F53" s="153"/>
      <c r="G53" s="153"/>
      <c r="H53" s="153"/>
      <c r="I53" s="153"/>
      <c r="J53" s="153"/>
      <c r="K53" s="153"/>
      <c r="L53" s="153"/>
    </row>
    <row r="54" spans="1:12" ht="20.100000000000001" customHeight="1" x14ac:dyDescent="0.3">
      <c r="A54" s="152" t="str">
        <f>IF(LEN(D17)&gt;0,MAX($A$32:A53)+1,"")</f>
        <v/>
      </c>
      <c r="B54" s="149" t="str">
        <f t="shared" si="5"/>
        <v/>
      </c>
      <c r="C54" s="146"/>
      <c r="D54" s="145"/>
    </row>
    <row r="55" spans="1:12" ht="20.100000000000001" customHeight="1" x14ac:dyDescent="0.3">
      <c r="A55" s="152" t="str">
        <f>IF(LEN(D18)&gt;0,MAX($A$32:A54)+1,"")</f>
        <v/>
      </c>
      <c r="B55" s="149" t="str">
        <f t="shared" si="5"/>
        <v/>
      </c>
      <c r="C55" s="146"/>
      <c r="D55" s="145"/>
    </row>
    <row r="56" spans="1:12" ht="20.100000000000001" customHeight="1" x14ac:dyDescent="0.3">
      <c r="A56" s="152">
        <f>IF(LEN(E13)&gt;0,MAX($A$32:A55)+1,"")</f>
        <v>12</v>
      </c>
      <c r="B56" s="149" t="str">
        <f t="shared" ref="B56:B61" si="6">IF(LEN(E13)&gt;0,E13,"")</f>
        <v>시상/선물</v>
      </c>
      <c r="C56" s="146">
        <f>IF(SUM(A56:A61)&gt;0,MIN(A56:A61))</f>
        <v>12</v>
      </c>
      <c r="D56" s="150" t="str">
        <f>IF(SUM(A56:A61)&gt;0,E12)</f>
        <v>시상/선물</v>
      </c>
    </row>
    <row r="57" spans="1:12" ht="20.100000000000001" customHeight="1" x14ac:dyDescent="0.3">
      <c r="A57" s="152" t="str">
        <f>IF(LEN(E14)&gt;0,MAX($A$32:A56)+1,"")</f>
        <v/>
      </c>
      <c r="B57" s="149" t="str">
        <f t="shared" si="6"/>
        <v/>
      </c>
      <c r="C57" s="146"/>
      <c r="D57" s="145"/>
    </row>
    <row r="58" spans="1:12" s="143" customFormat="1" ht="20.100000000000001" customHeight="1" x14ac:dyDescent="0.3">
      <c r="A58" s="152" t="str">
        <f>IF(LEN(E15)&gt;0,MAX($A$32:A57)+1,"")</f>
        <v/>
      </c>
      <c r="B58" s="149" t="str">
        <f t="shared" si="6"/>
        <v/>
      </c>
      <c r="C58" s="146"/>
      <c r="D58" s="145"/>
      <c r="E58" s="139"/>
      <c r="F58" s="153"/>
      <c r="G58" s="153"/>
      <c r="H58" s="153"/>
      <c r="I58" s="153"/>
      <c r="J58" s="153"/>
      <c r="K58" s="153"/>
      <c r="L58" s="153"/>
    </row>
    <row r="59" spans="1:12" s="143" customFormat="1" ht="20.100000000000001" customHeight="1" x14ac:dyDescent="0.3">
      <c r="A59" s="152" t="str">
        <f>IF(LEN(E16)&gt;0,MAX($A$32:A58)+1,"")</f>
        <v/>
      </c>
      <c r="B59" s="149" t="str">
        <f t="shared" si="6"/>
        <v/>
      </c>
      <c r="C59" s="146"/>
      <c r="D59" s="145"/>
      <c r="E59" s="139"/>
      <c r="F59" s="153"/>
      <c r="G59" s="153"/>
      <c r="H59" s="153"/>
      <c r="I59" s="153"/>
      <c r="J59" s="153"/>
      <c r="K59" s="153"/>
      <c r="L59" s="153"/>
    </row>
    <row r="60" spans="1:12" ht="20.100000000000001" customHeight="1" x14ac:dyDescent="0.3">
      <c r="A60" s="152" t="str">
        <f>IF(LEN(E17)&gt;0,MAX($A$32:A59)+1,"")</f>
        <v/>
      </c>
      <c r="B60" s="149" t="str">
        <f t="shared" si="6"/>
        <v/>
      </c>
      <c r="C60" s="146"/>
      <c r="D60" s="145"/>
    </row>
    <row r="61" spans="1:12" ht="20.100000000000001" customHeight="1" x14ac:dyDescent="0.3">
      <c r="A61" s="152" t="str">
        <f>IF(LEN(E18)&gt;0,MAX($A$32:A60)+1,"")</f>
        <v/>
      </c>
      <c r="B61" s="149" t="str">
        <f t="shared" si="6"/>
        <v/>
      </c>
      <c r="C61" s="146"/>
      <c r="D61" s="145"/>
    </row>
    <row r="62" spans="1:12" s="143" customFormat="1" ht="20.100000000000001" customHeight="1" x14ac:dyDescent="0.3">
      <c r="A62" s="152">
        <f>IF(LEN(F13)&gt;0,MAX($A$32:A61)+1,"")</f>
        <v>13</v>
      </c>
      <c r="B62" s="149" t="str">
        <f t="shared" ref="B62:B67" si="7">IF(LEN(F13)&gt;0,F13,"")</f>
        <v>병문안</v>
      </c>
      <c r="C62" s="146">
        <f>IF(SUM(A62:A67)&gt;0,MIN(A62:A67))</f>
        <v>13</v>
      </c>
      <c r="D62" s="150" t="str">
        <f>IF(SUM(A62:A67)&gt;0,F12)</f>
        <v>심방비</v>
      </c>
      <c r="E62" s="139"/>
      <c r="F62" s="153"/>
      <c r="G62" s="153"/>
      <c r="H62" s="153"/>
      <c r="I62" s="153"/>
      <c r="J62" s="153"/>
      <c r="K62" s="153"/>
      <c r="L62" s="153"/>
    </row>
    <row r="63" spans="1:12" s="143" customFormat="1" ht="20.100000000000001" customHeight="1" x14ac:dyDescent="0.3">
      <c r="A63" s="152">
        <f>IF(LEN(F14)&gt;0,MAX($A$32:A62)+1,"")</f>
        <v>14</v>
      </c>
      <c r="B63" s="149" t="str">
        <f t="shared" si="7"/>
        <v>경조사비</v>
      </c>
      <c r="C63" s="146"/>
      <c r="D63" s="145"/>
      <c r="E63" s="139"/>
      <c r="F63" s="153"/>
      <c r="G63" s="153"/>
      <c r="H63" s="153"/>
      <c r="I63" s="153"/>
      <c r="J63" s="153"/>
      <c r="K63" s="153"/>
      <c r="L63" s="153"/>
    </row>
    <row r="64" spans="1:12" ht="20.100000000000001" customHeight="1" x14ac:dyDescent="0.3">
      <c r="A64" s="152" t="str">
        <f>IF(LEN(F15)&gt;0,MAX($A$32:A63)+1,"")</f>
        <v/>
      </c>
      <c r="B64" s="149" t="str">
        <f t="shared" si="7"/>
        <v/>
      </c>
      <c r="C64" s="146"/>
      <c r="D64" s="145"/>
    </row>
    <row r="65" spans="1:12" ht="20.100000000000001" customHeight="1" x14ac:dyDescent="0.3">
      <c r="A65" s="152" t="str">
        <f>IF(LEN(F16)&gt;0,MAX($A$32:A64)+1,"")</f>
        <v/>
      </c>
      <c r="B65" s="149" t="str">
        <f t="shared" si="7"/>
        <v/>
      </c>
      <c r="C65" s="146"/>
      <c r="D65" s="145"/>
    </row>
    <row r="66" spans="1:12" s="143" customFormat="1" ht="20.100000000000001" customHeight="1" x14ac:dyDescent="0.3">
      <c r="A66" s="152" t="str">
        <f>IF(LEN(F17)&gt;0,MAX($A$32:A65)+1,"")</f>
        <v/>
      </c>
      <c r="B66" s="149" t="str">
        <f t="shared" si="7"/>
        <v/>
      </c>
      <c r="C66" s="146"/>
      <c r="D66" s="145"/>
      <c r="E66" s="139"/>
      <c r="F66" s="153"/>
      <c r="G66" s="153"/>
      <c r="H66" s="153"/>
      <c r="I66" s="153"/>
      <c r="J66" s="153"/>
      <c r="K66" s="153"/>
      <c r="L66" s="153"/>
    </row>
    <row r="67" spans="1:12" ht="20.100000000000001" customHeight="1" x14ac:dyDescent="0.3">
      <c r="A67" s="152" t="str">
        <f>IF(LEN(F18)&gt;0,MAX($A$32:A66)+1,"")</f>
        <v/>
      </c>
      <c r="B67" s="149" t="str">
        <f t="shared" si="7"/>
        <v/>
      </c>
      <c r="C67" s="146"/>
      <c r="D67" s="145"/>
    </row>
    <row r="68" spans="1:12" ht="20.100000000000001" customHeight="1" x14ac:dyDescent="0.3">
      <c r="A68" s="152">
        <f>IF(LEN(G13)&gt;0,MAX($A$32:A67)+1,"")</f>
        <v>15</v>
      </c>
      <c r="B68" s="149" t="str">
        <f t="shared" ref="B68:B73" si="8">IF(LEN(G13)&gt;0,G13,"")</f>
        <v>한마음체육대회</v>
      </c>
      <c r="C68" s="146">
        <f>IF(SUM(A68:A73)&gt;0,MIN(A68:A73))</f>
        <v>15</v>
      </c>
      <c r="D68" s="150" t="str">
        <f>IF(SUM(A68:A73)&gt;0,G12)</f>
        <v>한마음체육대회</v>
      </c>
    </row>
    <row r="69" spans="1:12" ht="20.100000000000001" customHeight="1" x14ac:dyDescent="0.3">
      <c r="A69" s="152" t="str">
        <f>IF(LEN(G14)&gt;0,MAX($A$32:A68)+1,"")</f>
        <v/>
      </c>
      <c r="B69" s="149" t="str">
        <f t="shared" si="8"/>
        <v/>
      </c>
      <c r="C69" s="146"/>
      <c r="D69" s="145"/>
    </row>
    <row r="70" spans="1:12" ht="20.100000000000001" customHeight="1" x14ac:dyDescent="0.3">
      <c r="A70" s="152" t="str">
        <f>IF(LEN(G15)&gt;0,MAX($A$32:A69)+1,"")</f>
        <v/>
      </c>
      <c r="B70" s="149" t="str">
        <f t="shared" si="8"/>
        <v/>
      </c>
      <c r="C70" s="146"/>
      <c r="D70" s="145"/>
    </row>
    <row r="71" spans="1:12" s="143" customFormat="1" ht="20.100000000000001" customHeight="1" x14ac:dyDescent="0.3">
      <c r="A71" s="152" t="str">
        <f>IF(LEN(G16)&gt;0,MAX($A$32:A70)+1,"")</f>
        <v/>
      </c>
      <c r="B71" s="149" t="str">
        <f t="shared" si="8"/>
        <v/>
      </c>
      <c r="C71" s="146"/>
      <c r="D71" s="145"/>
      <c r="E71" s="139"/>
      <c r="F71" s="153"/>
      <c r="G71" s="153"/>
      <c r="H71" s="153"/>
      <c r="I71" s="153"/>
      <c r="J71" s="153"/>
      <c r="K71" s="153"/>
      <c r="L71" s="153"/>
    </row>
    <row r="72" spans="1:12" s="143" customFormat="1" ht="20.100000000000001" customHeight="1" x14ac:dyDescent="0.3">
      <c r="A72" s="152" t="str">
        <f>IF(LEN(G17)&gt;0,MAX($A$32:A71)+1,"")</f>
        <v/>
      </c>
      <c r="B72" s="149" t="str">
        <f t="shared" si="8"/>
        <v/>
      </c>
      <c r="C72" s="146"/>
      <c r="D72" s="145"/>
      <c r="E72" s="139"/>
      <c r="F72" s="153"/>
      <c r="G72" s="153"/>
      <c r="H72" s="153"/>
      <c r="I72" s="153"/>
      <c r="J72" s="153"/>
      <c r="K72" s="153"/>
      <c r="L72" s="153"/>
    </row>
    <row r="73" spans="1:12" s="143" customFormat="1" ht="20.100000000000001" customHeight="1" x14ac:dyDescent="0.3">
      <c r="A73" s="152" t="str">
        <f>IF(LEN(G18)&gt;0,MAX($A$32:A72)+1,"")</f>
        <v/>
      </c>
      <c r="B73" s="149" t="str">
        <f t="shared" si="8"/>
        <v/>
      </c>
      <c r="C73" s="146"/>
      <c r="D73" s="145"/>
      <c r="E73" s="139"/>
      <c r="F73" s="153"/>
      <c r="G73" s="153"/>
      <c r="H73" s="153"/>
      <c r="I73" s="153"/>
      <c r="J73" s="153"/>
      <c r="K73" s="153"/>
      <c r="L73" s="153"/>
    </row>
    <row r="74" spans="1:12" s="143" customFormat="1" ht="20.100000000000001" customHeight="1" x14ac:dyDescent="0.3">
      <c r="A74" s="152">
        <f>IF(LEN(H13)&gt;0,MAX($A$32:A73)+1,"")</f>
        <v>16</v>
      </c>
      <c r="B74" s="149" t="str">
        <f t="shared" ref="B74:B79" si="9">IF(LEN(H13)&gt;0,H13,"")</f>
        <v>육아부 경비</v>
      </c>
      <c r="C74" s="146">
        <f>IF(SUM(A74:A79)&gt;0,MIN(A74:A79))</f>
        <v>16</v>
      </c>
      <c r="D74" s="150" t="str">
        <f>IF(SUM(A74:A79)&gt;0,H12)</f>
        <v>육아부 경비</v>
      </c>
      <c r="E74" s="139"/>
      <c r="F74" s="153"/>
      <c r="G74" s="153"/>
      <c r="H74" s="153"/>
      <c r="I74" s="153"/>
      <c r="J74" s="153"/>
      <c r="K74" s="153"/>
      <c r="L74" s="153"/>
    </row>
    <row r="75" spans="1:12" s="143" customFormat="1" ht="20.100000000000001" customHeight="1" x14ac:dyDescent="0.3">
      <c r="A75" s="152" t="str">
        <f>IF(LEN(H14)&gt;0,MAX($A$32:A74)+1,"")</f>
        <v/>
      </c>
      <c r="B75" s="149" t="str">
        <f t="shared" si="9"/>
        <v/>
      </c>
      <c r="C75" s="146"/>
      <c r="D75" s="145"/>
      <c r="E75" s="139"/>
      <c r="F75" s="153"/>
      <c r="G75" s="153"/>
      <c r="H75" s="153"/>
      <c r="I75" s="153"/>
      <c r="J75" s="153"/>
      <c r="K75" s="153"/>
      <c r="L75" s="153"/>
    </row>
    <row r="76" spans="1:12" ht="20.100000000000001" customHeight="1" x14ac:dyDescent="0.3">
      <c r="A76" s="152" t="str">
        <f>IF(LEN(H15)&gt;0,MAX($A$32:A75)+1,"")</f>
        <v/>
      </c>
      <c r="B76" s="149" t="str">
        <f t="shared" si="9"/>
        <v/>
      </c>
      <c r="C76" s="146"/>
      <c r="D76" s="145"/>
    </row>
    <row r="77" spans="1:12" s="143" customFormat="1" ht="20.100000000000001" customHeight="1" x14ac:dyDescent="0.3">
      <c r="A77" s="152" t="str">
        <f>IF(LEN(H16)&gt;0,MAX($A$32:A76)+1,"")</f>
        <v/>
      </c>
      <c r="B77" s="149" t="str">
        <f t="shared" si="9"/>
        <v/>
      </c>
      <c r="C77" s="146"/>
      <c r="D77" s="145"/>
      <c r="E77" s="139"/>
      <c r="F77" s="153"/>
      <c r="G77" s="153"/>
      <c r="H77" s="153"/>
      <c r="I77" s="153"/>
      <c r="J77" s="153"/>
      <c r="K77" s="153"/>
      <c r="L77" s="153"/>
    </row>
    <row r="78" spans="1:12" ht="20.100000000000001" customHeight="1" x14ac:dyDescent="0.3">
      <c r="A78" s="152" t="str">
        <f>IF(LEN(H17)&gt;0,MAX($A$32:A77)+1,"")</f>
        <v/>
      </c>
      <c r="B78" s="149" t="str">
        <f t="shared" si="9"/>
        <v/>
      </c>
      <c r="C78" s="146"/>
      <c r="D78" s="145"/>
    </row>
    <row r="79" spans="1:12" ht="20.100000000000001" customHeight="1" x14ac:dyDescent="0.3">
      <c r="A79" s="152" t="str">
        <f>IF(LEN(H18)&gt;0,MAX($A$32:A78)+1,"")</f>
        <v/>
      </c>
      <c r="B79" s="149" t="str">
        <f t="shared" si="9"/>
        <v/>
      </c>
      <c r="C79" s="146"/>
      <c r="D79" s="145"/>
    </row>
    <row r="80" spans="1:12" ht="20.100000000000001" customHeight="1" x14ac:dyDescent="0.3">
      <c r="A80" s="152">
        <f>IF(LEN(I13)&gt;0,MAX($A$32:A79)+1,"")</f>
        <v>17</v>
      </c>
      <c r="B80" s="149" t="str">
        <f t="shared" ref="B80:B85" si="10">IF(LEN(I13)&gt;0,I13,"")</f>
        <v>특강비</v>
      </c>
      <c r="C80" s="146">
        <f>IF(SUM(A80:A85)&gt;0,MIN(A80:A85))</f>
        <v>17</v>
      </c>
      <c r="D80" s="150" t="str">
        <f>IF(SUM(A80:A85)&gt;0,I12)</f>
        <v>특강/도서구입비</v>
      </c>
    </row>
    <row r="81" spans="1:12" s="143" customFormat="1" ht="20.100000000000001" customHeight="1" x14ac:dyDescent="0.3">
      <c r="A81" s="152">
        <f>IF(LEN(I14)&gt;0,MAX($A$32:A80)+1,"")</f>
        <v>18</v>
      </c>
      <c r="B81" s="149" t="str">
        <f t="shared" si="10"/>
        <v>도서구입비</v>
      </c>
      <c r="C81" s="146"/>
      <c r="D81" s="145"/>
      <c r="E81" s="139"/>
      <c r="F81" s="153"/>
      <c r="G81" s="153"/>
      <c r="H81" s="153"/>
      <c r="I81" s="153"/>
      <c r="J81" s="153"/>
      <c r="K81" s="153"/>
      <c r="L81" s="153"/>
    </row>
    <row r="82" spans="1:12" ht="20.100000000000001" customHeight="1" x14ac:dyDescent="0.3">
      <c r="A82" s="152" t="str">
        <f>IF(LEN(I15)&gt;0,MAX($A$32:A81)+1,"")</f>
        <v/>
      </c>
      <c r="B82" s="149" t="str">
        <f t="shared" si="10"/>
        <v/>
      </c>
      <c r="C82" s="146"/>
      <c r="D82" s="145"/>
    </row>
    <row r="83" spans="1:12" ht="20.100000000000001" customHeight="1" x14ac:dyDescent="0.3">
      <c r="A83" s="152" t="str">
        <f>IF(LEN(I16)&gt;0,MAX($A$32:A82)+1,"")</f>
        <v/>
      </c>
      <c r="B83" s="149" t="str">
        <f t="shared" si="10"/>
        <v/>
      </c>
      <c r="C83" s="146"/>
      <c r="D83" s="145"/>
    </row>
    <row r="84" spans="1:12" s="143" customFormat="1" ht="20.100000000000001" customHeight="1" x14ac:dyDescent="0.3">
      <c r="A84" s="152" t="str">
        <f>IF(LEN(I17)&gt;0,MAX($A$32:A83)+1,"")</f>
        <v/>
      </c>
      <c r="B84" s="149" t="str">
        <f t="shared" si="10"/>
        <v/>
      </c>
      <c r="C84" s="146"/>
      <c r="D84" s="145"/>
      <c r="E84" s="139"/>
      <c r="F84" s="153"/>
      <c r="G84" s="153"/>
      <c r="H84" s="153"/>
      <c r="I84" s="153"/>
      <c r="J84" s="153"/>
      <c r="K84" s="153"/>
      <c r="L84" s="153"/>
    </row>
    <row r="85" spans="1:12" s="143" customFormat="1" ht="20.100000000000001" customHeight="1" x14ac:dyDescent="0.3">
      <c r="A85" s="152" t="str">
        <f>IF(LEN(I18)&gt;0,MAX($A$32:A84)+1,"")</f>
        <v/>
      </c>
      <c r="B85" s="149" t="str">
        <f t="shared" si="10"/>
        <v/>
      </c>
      <c r="C85" s="146"/>
      <c r="D85" s="145"/>
      <c r="E85" s="139"/>
      <c r="F85" s="153"/>
      <c r="G85" s="153"/>
      <c r="H85" s="153"/>
      <c r="I85" s="153"/>
      <c r="J85" s="153"/>
      <c r="K85" s="153"/>
      <c r="L85" s="153"/>
    </row>
    <row r="86" spans="1:12" ht="20.100000000000001" customHeight="1" x14ac:dyDescent="0.3">
      <c r="A86" s="152">
        <f>IF(LEN(J13)&gt;0,MAX($A$32:A85)+1,"")</f>
        <v>19</v>
      </c>
      <c r="B86" s="149" t="str">
        <f t="shared" ref="B86:B91" si="11">IF(LEN(J13)&gt;0,J13,"")</f>
        <v>요람제작비</v>
      </c>
      <c r="C86" s="146">
        <f>IF(SUM(A86:A91)&gt;0,MIN(A86:A91))</f>
        <v>19</v>
      </c>
      <c r="D86" s="150" t="str">
        <f>IF(SUM(A86:A91)&gt;0,J12)</f>
        <v>요람/현수막제작비</v>
      </c>
    </row>
    <row r="87" spans="1:12" ht="20.100000000000001" customHeight="1" x14ac:dyDescent="0.3">
      <c r="A87" s="152">
        <f>IF(LEN(J14)&gt;0,MAX($A$32:A86)+1,"")</f>
        <v>20</v>
      </c>
      <c r="B87" s="149" t="str">
        <f t="shared" si="11"/>
        <v>현수막제작비</v>
      </c>
      <c r="C87" s="146"/>
      <c r="D87" s="145"/>
    </row>
    <row r="88" spans="1:12" ht="20.100000000000001" customHeight="1" x14ac:dyDescent="0.3">
      <c r="A88" s="152" t="str">
        <f>IF(LEN(J15)&gt;0,MAX($A$32:A87)+1,"")</f>
        <v/>
      </c>
      <c r="B88" s="149" t="str">
        <f t="shared" si="11"/>
        <v/>
      </c>
      <c r="C88" s="146"/>
      <c r="D88" s="145"/>
    </row>
    <row r="89" spans="1:12" s="143" customFormat="1" ht="20.100000000000001" customHeight="1" x14ac:dyDescent="0.3">
      <c r="A89" s="152" t="str">
        <f>IF(LEN(J16)&gt;0,MAX($A$32:A88)+1,"")</f>
        <v/>
      </c>
      <c r="B89" s="149" t="str">
        <f t="shared" si="11"/>
        <v/>
      </c>
      <c r="C89" s="146"/>
      <c r="D89" s="145"/>
      <c r="E89" s="139"/>
      <c r="F89" s="153"/>
      <c r="G89" s="153"/>
      <c r="H89" s="153"/>
      <c r="I89" s="153"/>
      <c r="J89" s="153"/>
      <c r="K89" s="153"/>
      <c r="L89" s="153"/>
    </row>
    <row r="90" spans="1:12" s="143" customFormat="1" ht="20.100000000000001" customHeight="1" x14ac:dyDescent="0.3">
      <c r="A90" s="152" t="str">
        <f>IF(LEN(J17)&gt;0,MAX($A$32:A89)+1,"")</f>
        <v/>
      </c>
      <c r="B90" s="149" t="str">
        <f t="shared" si="11"/>
        <v/>
      </c>
      <c r="C90" s="146"/>
      <c r="D90" s="145"/>
      <c r="E90" s="139"/>
      <c r="F90" s="153"/>
      <c r="G90" s="153"/>
      <c r="H90" s="153"/>
      <c r="I90" s="153"/>
      <c r="J90" s="153"/>
      <c r="K90" s="153"/>
      <c r="L90" s="153"/>
    </row>
    <row r="91" spans="1:12" ht="20.100000000000001" customHeight="1" x14ac:dyDescent="0.3">
      <c r="A91" s="152" t="str">
        <f>IF(LEN(J18)&gt;0,MAX($A$32:A90)+1,"")</f>
        <v/>
      </c>
      <c r="B91" s="149" t="str">
        <f t="shared" si="11"/>
        <v/>
      </c>
      <c r="C91" s="146"/>
      <c r="D91" s="145"/>
    </row>
    <row r="92" spans="1:12" ht="20.100000000000001" customHeight="1" x14ac:dyDescent="0.3">
      <c r="A92" s="152">
        <f>IF(LEN(K13)&gt;0,MAX($A$32:A91)+1,"")</f>
        <v>21</v>
      </c>
      <c r="B92" s="149" t="str">
        <f t="shared" ref="B92:B97" si="12">IF(LEN(K13)&gt;0,K13,"")</f>
        <v>잡화구입비</v>
      </c>
      <c r="C92" s="146">
        <f>IF(SUM(A92:A97)&gt;0,MIN(A92:A97))</f>
        <v>21</v>
      </c>
      <c r="D92" s="150" t="str">
        <f>IF(SUM(A92:A97)&gt;0,K12)</f>
        <v>기타지출</v>
      </c>
    </row>
    <row r="93" spans="1:12" ht="20.100000000000001" customHeight="1" x14ac:dyDescent="0.3">
      <c r="A93" s="152">
        <f>IF(LEN(K14)&gt;0,MAX($A$32:A92)+1,"")</f>
        <v>22</v>
      </c>
      <c r="B93" s="149" t="str">
        <f t="shared" si="12"/>
        <v>비품구입비</v>
      </c>
      <c r="C93" s="146"/>
      <c r="D93" s="145"/>
    </row>
    <row r="94" spans="1:12" ht="20.100000000000001" customHeight="1" x14ac:dyDescent="0.3">
      <c r="A94" s="152">
        <f>IF(LEN(K15)&gt;0,MAX($A$32:A93)+1,"")</f>
        <v>23</v>
      </c>
      <c r="B94" s="149" t="str">
        <f t="shared" si="12"/>
        <v>기타</v>
      </c>
      <c r="C94" s="146"/>
      <c r="D94" s="145"/>
    </row>
    <row r="95" spans="1:12" ht="20.100000000000001" customHeight="1" x14ac:dyDescent="0.3">
      <c r="A95" s="152" t="str">
        <f>IF(LEN(K16)&gt;0,MAX($A$32:A94)+1,"")</f>
        <v/>
      </c>
      <c r="B95" s="149" t="str">
        <f t="shared" si="12"/>
        <v/>
      </c>
      <c r="C95" s="146"/>
      <c r="D95" s="145"/>
    </row>
    <row r="96" spans="1:12" ht="20.100000000000001" customHeight="1" x14ac:dyDescent="0.3">
      <c r="A96" s="152" t="str">
        <f>IF(LEN(K17)&gt;0,MAX($A$32:A95)+1,"")</f>
        <v/>
      </c>
      <c r="B96" s="149" t="str">
        <f t="shared" si="12"/>
        <v/>
      </c>
      <c r="C96" s="146"/>
      <c r="D96" s="145"/>
    </row>
    <row r="97" spans="1:4" ht="20.100000000000001" customHeight="1" x14ac:dyDescent="0.3">
      <c r="A97" s="152" t="str">
        <f>IF(LEN(K18)&gt;0,MAX($A$32:A96)+1,"")</f>
        <v/>
      </c>
      <c r="B97" s="149" t="str">
        <f t="shared" si="12"/>
        <v/>
      </c>
      <c r="C97" s="146"/>
      <c r="D97" s="145"/>
    </row>
    <row r="98" spans="1:4" ht="20.100000000000001" customHeight="1" x14ac:dyDescent="0.3">
      <c r="A98" s="152" t="str">
        <f>IF(LEN(L13)&gt;0,MAX($A$32:A97)+1,"")</f>
        <v/>
      </c>
      <c r="B98" s="149" t="str">
        <f>IF(LEN(L13)&gt;0,L13,"")</f>
        <v/>
      </c>
      <c r="C98" s="146" t="b">
        <f>IF(SUM(A98:A103)&gt;0,MIN(A98:A103))</f>
        <v>0</v>
      </c>
      <c r="D98" s="150" t="b">
        <f>IF(SUM(A98:A103)&gt;0,L12)</f>
        <v>0</v>
      </c>
    </row>
    <row r="99" spans="1:4" ht="20.100000000000001" customHeight="1" x14ac:dyDescent="0.3">
      <c r="A99" s="152" t="str">
        <f>IF(LEN(L14)&gt;0,MAX($A$32:A98)+1,"")</f>
        <v/>
      </c>
      <c r="B99" s="149" t="str">
        <f t="shared" ref="B99:B103" si="13">IF(LEN(L14)&gt;0,L14,"")</f>
        <v/>
      </c>
      <c r="C99" s="146"/>
      <c r="D99" s="145"/>
    </row>
    <row r="100" spans="1:4" ht="20.100000000000001" customHeight="1" x14ac:dyDescent="0.3">
      <c r="A100" s="152" t="str">
        <f>IF(LEN(L15)&gt;0,MAX($A$32:A99)+1,"")</f>
        <v/>
      </c>
      <c r="B100" s="149" t="str">
        <f t="shared" si="13"/>
        <v/>
      </c>
      <c r="C100" s="146"/>
      <c r="D100" s="145"/>
    </row>
    <row r="101" spans="1:4" ht="20.100000000000001" customHeight="1" x14ac:dyDescent="0.3">
      <c r="A101" s="152" t="str">
        <f>IF(LEN(L16)&gt;0,MAX($A$32:A100)+1,"")</f>
        <v/>
      </c>
      <c r="B101" s="149" t="str">
        <f t="shared" si="13"/>
        <v/>
      </c>
      <c r="C101" s="146"/>
      <c r="D101" s="145"/>
    </row>
    <row r="102" spans="1:4" ht="20.100000000000001" customHeight="1" x14ac:dyDescent="0.3">
      <c r="A102" s="152" t="str">
        <f>IF(LEN(L17)&gt;0,MAX($A$32:A101)+1,"")</f>
        <v/>
      </c>
      <c r="B102" s="149" t="str">
        <f t="shared" si="13"/>
        <v/>
      </c>
      <c r="C102" s="146"/>
      <c r="D102" s="145"/>
    </row>
    <row r="103" spans="1:4" ht="20.100000000000001" customHeight="1" x14ac:dyDescent="0.3">
      <c r="A103" s="152" t="str">
        <f>IF(LEN(L18)&gt;0,MAX($A$32:A102)+1,"")</f>
        <v/>
      </c>
      <c r="B103" s="149" t="str">
        <f t="shared" si="13"/>
        <v/>
      </c>
      <c r="C103" s="146"/>
      <c r="D103" s="145"/>
    </row>
    <row r="104" spans="1:4" ht="20.100000000000001" customHeight="1" x14ac:dyDescent="0.3">
      <c r="C104" s="147"/>
    </row>
    <row r="105" spans="1:4" ht="20.100000000000001" customHeight="1" x14ac:dyDescent="0.3">
      <c r="C105" s="147"/>
    </row>
    <row r="106" spans="1:4" ht="20.100000000000001" customHeight="1" x14ac:dyDescent="0.3">
      <c r="C106" s="147"/>
    </row>
    <row r="107" spans="1:4" ht="20.100000000000001" customHeight="1" x14ac:dyDescent="0.3">
      <c r="C107" s="147"/>
    </row>
    <row r="108" spans="1:4" ht="20.100000000000001" customHeight="1" x14ac:dyDescent="0.3">
      <c r="C108" s="147"/>
    </row>
    <row r="109" spans="1:4" ht="20.100000000000001" customHeight="1" x14ac:dyDescent="0.3">
      <c r="C109" s="147"/>
    </row>
  </sheetData>
  <sheetProtection algorithmName="SHA-512" hashValue="/JsgRU3ULJ2Si/U66+VjQxn3m8/kWOUWkqXQQlTkdHOV48eLqg18euWATdMGhgRkgU2DZLa15Pp/D95u5Vtp+A==" saltValue="clI/PDxbmNgnshboejRtVA==" spinCount="100000" sheet="1" objects="1" scenarios="1" selectLockedCells="1"/>
  <mergeCells count="3">
    <mergeCell ref="B11:L11"/>
    <mergeCell ref="B2:L2"/>
    <mergeCell ref="C1:L1"/>
  </mergeCells>
  <phoneticPr fontId="2" type="noConversion"/>
  <conditionalFormatting sqref="B11:L11">
    <cfRule type="expression" dxfId="5" priority="2">
      <formula>LEN(B11)&gt;0</formula>
    </cfRule>
  </conditionalFormatting>
  <conditionalFormatting sqref="C1:L1">
    <cfRule type="expression" dxfId="3" priority="1">
      <formula>LEN(부서명)=0</formula>
    </cfRule>
  </conditionalFormatting>
  <pageMargins left="0.70866141732283472" right="0.70866141732283472" top="0.3937007874015748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16</vt:i4>
      </vt:variant>
    </vt:vector>
  </HeadingPairs>
  <TitlesOfParts>
    <vt:vector size="23" baseType="lpstr">
      <vt:lpstr>회계장부</vt:lpstr>
      <vt:lpstr>결의서</vt:lpstr>
      <vt:lpstr>월별누계</vt:lpstr>
      <vt:lpstr>회계보고서</vt:lpstr>
      <vt:lpstr>검산서(상반기)</vt:lpstr>
      <vt:lpstr>검산서(하반기)</vt:lpstr>
      <vt:lpstr>회계코드</vt:lpstr>
      <vt:lpstr>'검산서(상반기)'!Print_Area</vt:lpstr>
      <vt:lpstr>결의서!Print_Area</vt:lpstr>
      <vt:lpstr>회계보고서!Print_Area</vt:lpstr>
      <vt:lpstr>관</vt:lpstr>
      <vt:lpstr>기준일자</vt:lpstr>
      <vt:lpstr>기준일자_시작일</vt:lpstr>
      <vt:lpstr>기준일자_종료일</vt:lpstr>
      <vt:lpstr>부서명</vt:lpstr>
      <vt:lpstr>수입</vt:lpstr>
      <vt:lpstr>전년도이월금</vt:lpstr>
      <vt:lpstr>지출</vt:lpstr>
      <vt:lpstr>지출관정렬</vt:lpstr>
      <vt:lpstr>지출항목정렬</vt:lpstr>
      <vt:lpstr>항목</vt:lpstr>
      <vt:lpstr>헌금_회비</vt:lpstr>
      <vt:lpstr>회계월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도 성현</cp:lastModifiedBy>
  <cp:lastPrinted>2020-07-05T14:30:40Z</cp:lastPrinted>
  <dcterms:created xsi:type="dcterms:W3CDTF">2014-01-05T13:45:46Z</dcterms:created>
  <dcterms:modified xsi:type="dcterms:W3CDTF">2020-07-07T16:04:20Z</dcterms:modified>
</cp:coreProperties>
</file>