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backupFile="1"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e34cc50df0002c/Documents/대구동부교회/회계장부/"/>
    </mc:Choice>
  </mc:AlternateContent>
  <xr:revisionPtr revIDLastSave="0" documentId="8_{CE40DBC4-CC4D-4FD3-8F74-8FB0FC07BE40}" xr6:coauthVersionLast="47" xr6:coauthVersionMax="47" xr10:uidLastSave="{00000000-0000-0000-0000-000000000000}"/>
  <bookViews>
    <workbookView xWindow="-110" yWindow="-110" windowWidth="25820" windowHeight="15500" tabRatio="742" activeTab="7" xr2:uid="{00000000-000D-0000-FFFF-FFFF00000000}"/>
  </bookViews>
  <sheets>
    <sheet name="회계장부" sheetId="2" r:id="rId1"/>
    <sheet name="결의서(기본)" sheetId="1" r:id="rId2"/>
    <sheet name="결의서(추가)" sheetId="38" r:id="rId3"/>
    <sheet name="월별누계" sheetId="29" r:id="rId4"/>
    <sheet name="회계보고서" sheetId="35" r:id="rId5"/>
    <sheet name="검산서(상반기)" sheetId="43" r:id="rId6"/>
    <sheet name="검산서(하반기)" sheetId="42" r:id="rId7"/>
    <sheet name="회계코드" sheetId="7" r:id="rId8"/>
    <sheet name="개선사항" sheetId="39" r:id="rId9"/>
    <sheet name="유효성목록" sheetId="46" state="hidden" r:id="rId10"/>
  </sheets>
  <externalReferences>
    <externalReference r:id="rId11"/>
  </externalReferences>
  <definedNames>
    <definedName name="_xlnm._FilterDatabase" localSheetId="0" hidden="1">회계장부!$J$1:$J$3</definedName>
    <definedName name="_xlnm._FilterDatabase" localSheetId="7" hidden="1">회계코드!#REF!</definedName>
    <definedName name="_xlnm.Print_Area" localSheetId="5">'검산서(상반기)'!$A$1:$M$47</definedName>
    <definedName name="_xlnm.Print_Area" localSheetId="6">'검산서(하반기)'!$A$1:$M$47</definedName>
    <definedName name="_xlnm.Print_Area" localSheetId="1">'결의서(기본)'!$A$1:$H$29</definedName>
    <definedName name="_xlnm.Print_Area" localSheetId="2">'결의서(추가)'!$A$1:$H$29</definedName>
    <definedName name="_xlnm.Print_Area" localSheetId="3">월별누계!$A$1:$F$14</definedName>
    <definedName name="_xlnm.Print_Area" localSheetId="4">회계보고서!$A$1:$H$55</definedName>
    <definedName name="결재란1">회계코드!$B$2</definedName>
    <definedName name="결재란2">회계코드!$C$2</definedName>
    <definedName name="결재란3">회계코드!$D$2</definedName>
    <definedName name="관">회계장부!$I:$I</definedName>
    <definedName name="교회명">회계코드!$B$1</definedName>
    <definedName name="기준일자">'결의서(기본)'!$B$3</definedName>
    <definedName name="기준일자_시작일">회계보고서!$K$3</definedName>
    <definedName name="기준일자_종료일">회계보고서!$K$4</definedName>
    <definedName name="부서명">회계코드!$D$1</definedName>
    <definedName name="수입">회계장부!$C:$C</definedName>
    <definedName name="수입관정렬">회계코드!$C$63:$D$362</definedName>
    <definedName name="수입항목정렬">회계코드!$A$63:$B$362</definedName>
    <definedName name="일자">[1]회계장부!$A:$A</definedName>
    <definedName name="전년도이월금">회계코드!$A$6</definedName>
    <definedName name="지출">회계장부!$D:$D</definedName>
    <definedName name="지출관정렬">회계코드!$G$63:$H$362</definedName>
    <definedName name="지출항목">OFFSET(회계코드!$A$30,,,1,COUNTA(회계코드!$A$30:$L$30))</definedName>
    <definedName name="지출항목정렬">회계코드!$E$63:$F$362</definedName>
    <definedName name="코드">[1]회계장부!$J:$J</definedName>
    <definedName name="항목">회계장부!$J:$J</definedName>
    <definedName name="헌금_회비">회계코드!$B$6:$B$9</definedName>
    <definedName name="헌금보고기준일자">#REF!</definedName>
    <definedName name="헌금유효성목록">OFFSET(유효성목록!$C$2,,,유효성목록!$C$1)</definedName>
    <definedName name="헌금항목수">유효성목록!$C$1</definedName>
    <definedName name="회계년도">회계코드!$F$1</definedName>
    <definedName name="회계월">회계장부!$L:$L</definedName>
    <definedName name="회비유효성목록">OFFSET(유효성목록!$G$2,,,유효성목록!$G$1)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2" l="1"/>
  <c r="A1" i="43"/>
  <c r="E2" i="2"/>
  <c r="E3" i="2" s="1"/>
  <c r="I3" i="46" a="1"/>
  <c r="I3" i="46" s="1"/>
  <c r="E3" i="46"/>
  <c r="E9" i="46"/>
  <c r="E10" i="46"/>
  <c r="E11" i="46"/>
  <c r="E18" i="46"/>
  <c r="E19" i="46"/>
  <c r="E20" i="46"/>
  <c r="E2" i="46"/>
  <c r="F21" i="46"/>
  <c r="E21" i="46" s="1"/>
  <c r="F20" i="46"/>
  <c r="F19" i="46"/>
  <c r="F18" i="46"/>
  <c r="F17" i="46"/>
  <c r="E17" i="46" s="1"/>
  <c r="F16" i="46"/>
  <c r="E16" i="46" s="1"/>
  <c r="F15" i="46"/>
  <c r="E15" i="46" s="1"/>
  <c r="F14" i="46"/>
  <c r="F13" i="46"/>
  <c r="F12" i="46"/>
  <c r="E12" i="46" s="1"/>
  <c r="F11" i="46"/>
  <c r="F10" i="46"/>
  <c r="F9" i="46"/>
  <c r="F8" i="46"/>
  <c r="E8" i="46" s="1"/>
  <c r="F7" i="46"/>
  <c r="E7" i="46" s="1"/>
  <c r="F6" i="46"/>
  <c r="E6" i="46" s="1"/>
  <c r="F5" i="46"/>
  <c r="E5" i="46" s="1"/>
  <c r="F4" i="46"/>
  <c r="E4" i="46" s="1"/>
  <c r="F3" i="46"/>
  <c r="F2" i="46"/>
  <c r="B3" i="46"/>
  <c r="B4" i="46"/>
  <c r="B5" i="46"/>
  <c r="B6" i="46"/>
  <c r="B7" i="46"/>
  <c r="B8" i="46"/>
  <c r="B9" i="46"/>
  <c r="B10" i="46"/>
  <c r="B11" i="46"/>
  <c r="B12" i="46"/>
  <c r="B13" i="46"/>
  <c r="A13" i="46" s="1"/>
  <c r="B14" i="46"/>
  <c r="B15" i="46"/>
  <c r="A15" i="46" s="1"/>
  <c r="B16" i="46"/>
  <c r="B17" i="46"/>
  <c r="A17" i="46" s="1"/>
  <c r="B18" i="46"/>
  <c r="A18" i="46" s="1"/>
  <c r="B19" i="46"/>
  <c r="A19" i="46" s="1"/>
  <c r="B20" i="46"/>
  <c r="B21" i="46"/>
  <c r="B2" i="46"/>
  <c r="A2" i="46" s="1"/>
  <c r="C2" i="46" s="1"/>
  <c r="A16" i="46"/>
  <c r="A20" i="46"/>
  <c r="A2" i="35"/>
  <c r="F44" i="43"/>
  <c r="F44" i="42"/>
  <c r="E13" i="46" l="1"/>
  <c r="E14" i="46" s="1"/>
  <c r="A3" i="46"/>
  <c r="B3" i="42"/>
  <c r="B3" i="43"/>
  <c r="A3" i="35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4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2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0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28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6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4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2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0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18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6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4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2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0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8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4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2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03" i="7"/>
  <c r="A298" i="7"/>
  <c r="A299" i="7"/>
  <c r="A300" i="7"/>
  <c r="A301" i="7"/>
  <c r="A302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8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6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4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2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0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183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42" i="7"/>
  <c r="A141" i="7"/>
  <c r="A140" i="7"/>
  <c r="A139" i="7"/>
  <c r="A138" i="7"/>
  <c r="A137" i="7"/>
  <c r="A136" i="7"/>
  <c r="A135" i="7"/>
  <c r="A133" i="7"/>
  <c r="A132" i="7"/>
  <c r="A131" i="7"/>
  <c r="A130" i="7"/>
  <c r="A129" i="7"/>
  <c r="A128" i="7"/>
  <c r="A127" i="7"/>
  <c r="A121" i="7"/>
  <c r="A120" i="7"/>
  <c r="A119" i="7"/>
  <c r="A118" i="7"/>
  <c r="A117" i="7"/>
  <c r="A116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62" i="7"/>
  <c r="A83" i="7" s="1"/>
  <c r="G1" i="7"/>
  <c r="E2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A26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A51" i="7"/>
  <c r="E27" i="7"/>
  <c r="F27" i="7"/>
  <c r="G27" i="7"/>
  <c r="H27" i="7"/>
  <c r="I27" i="7"/>
  <c r="J27" i="7"/>
  <c r="K27" i="7"/>
  <c r="L27" i="7"/>
  <c r="M27" i="7"/>
  <c r="N27" i="7"/>
  <c r="O27" i="7"/>
  <c r="B27" i="7"/>
  <c r="C27" i="7"/>
  <c r="D27" i="7"/>
  <c r="A27" i="7"/>
  <c r="G52" i="7"/>
  <c r="G3" i="2"/>
  <c r="H3" i="2" s="1"/>
  <c r="L3" i="2"/>
  <c r="B46" i="43"/>
  <c r="B46" i="42" s="1"/>
  <c r="G26" i="1"/>
  <c r="G26" i="38" s="1"/>
  <c r="D26" i="1"/>
  <c r="D26" i="38" s="1"/>
  <c r="B26" i="1"/>
  <c r="B26" i="38" s="1"/>
  <c r="A2" i="2"/>
  <c r="G4" i="46" l="1"/>
  <c r="G7" i="46"/>
  <c r="G16" i="46"/>
  <c r="G20" i="46"/>
  <c r="G8" i="46"/>
  <c r="G5" i="46"/>
  <c r="G13" i="46"/>
  <c r="G9" i="46"/>
  <c r="G21" i="46"/>
  <c r="G17" i="46"/>
  <c r="G18" i="46"/>
  <c r="G6" i="46"/>
  <c r="G19" i="46"/>
  <c r="G10" i="46"/>
  <c r="G15" i="46"/>
  <c r="G12" i="46"/>
  <c r="A4" i="46"/>
  <c r="A5" i="46" s="1"/>
  <c r="C5" i="46"/>
  <c r="C4" i="46"/>
  <c r="C3" i="46"/>
  <c r="G14" i="46"/>
  <c r="G11" i="46"/>
  <c r="G3" i="46"/>
  <c r="G2" i="46"/>
  <c r="A6" i="46"/>
  <c r="A7" i="46" s="1"/>
  <c r="A8" i="46" s="1"/>
  <c r="A9" i="46" s="1"/>
  <c r="D3" i="42"/>
  <c r="B4" i="7"/>
  <c r="D3" i="43"/>
  <c r="B29" i="7"/>
  <c r="D183" i="7"/>
  <c r="D263" i="7"/>
  <c r="D223" i="7"/>
  <c r="D343" i="7"/>
  <c r="D303" i="7"/>
  <c r="D203" i="7"/>
  <c r="D243" i="7"/>
  <c r="D283" i="7"/>
  <c r="D323" i="7"/>
  <c r="K3" i="2"/>
  <c r="D33" i="43"/>
  <c r="D28" i="43"/>
  <c r="D23" i="43"/>
  <c r="D18" i="43"/>
  <c r="D13" i="43"/>
  <c r="D13" i="42"/>
  <c r="D18" i="42"/>
  <c r="D23" i="42"/>
  <c r="D28" i="42"/>
  <c r="D33" i="42"/>
  <c r="J36" i="43"/>
  <c r="L36" i="43" s="1"/>
  <c r="J34" i="43"/>
  <c r="L34" i="43" s="1"/>
  <c r="J32" i="43"/>
  <c r="L32" i="43" s="1"/>
  <c r="J30" i="43"/>
  <c r="L30" i="43" s="1"/>
  <c r="L37" i="43"/>
  <c r="J28" i="43"/>
  <c r="L28" i="43" s="1"/>
  <c r="J26" i="43"/>
  <c r="J24" i="43"/>
  <c r="J22" i="43"/>
  <c r="J20" i="43"/>
  <c r="J18" i="43"/>
  <c r="J16" i="43"/>
  <c r="J14" i="43"/>
  <c r="J12" i="43"/>
  <c r="J10" i="43"/>
  <c r="J8" i="43"/>
  <c r="D8" i="43"/>
  <c r="B7" i="43"/>
  <c r="H7" i="43" s="1"/>
  <c r="J36" i="42"/>
  <c r="L36" i="42" s="1"/>
  <c r="J34" i="42"/>
  <c r="L34" i="42" s="1"/>
  <c r="J32" i="42"/>
  <c r="L32" i="42" s="1"/>
  <c r="J30" i="42"/>
  <c r="L30" i="42" s="1"/>
  <c r="J28" i="42"/>
  <c r="L28" i="42" s="1"/>
  <c r="J26" i="42"/>
  <c r="J24" i="42"/>
  <c r="J22" i="42"/>
  <c r="J20" i="42"/>
  <c r="J18" i="42"/>
  <c r="J16" i="42"/>
  <c r="J14" i="42"/>
  <c r="J12" i="42"/>
  <c r="J10" i="42"/>
  <c r="J8" i="42"/>
  <c r="D8" i="42"/>
  <c r="C6" i="46" l="1"/>
  <c r="C9" i="46"/>
  <c r="C7" i="46"/>
  <c r="G1" i="46"/>
  <c r="C8" i="46"/>
  <c r="A10" i="46"/>
  <c r="D38" i="43"/>
  <c r="D7" i="42" s="1"/>
  <c r="B38" i="43"/>
  <c r="B7" i="42" s="1"/>
  <c r="D38" i="42"/>
  <c r="A11" i="46" l="1"/>
  <c r="C11" i="46" s="1"/>
  <c r="C10" i="46"/>
  <c r="L20" i="42"/>
  <c r="L20" i="43"/>
  <c r="L8" i="42"/>
  <c r="L8" i="43"/>
  <c r="L24" i="43"/>
  <c r="L24" i="42"/>
  <c r="L14" i="43"/>
  <c r="L14" i="42"/>
  <c r="C28" i="43"/>
  <c r="C13" i="42"/>
  <c r="C18" i="42"/>
  <c r="C33" i="43"/>
  <c r="C13" i="43"/>
  <c r="C18" i="43"/>
  <c r="C33" i="42"/>
  <c r="C23" i="43"/>
  <c r="C23" i="42"/>
  <c r="C28" i="42"/>
  <c r="C8" i="43"/>
  <c r="C8" i="42"/>
  <c r="L18" i="43"/>
  <c r="L18" i="42"/>
  <c r="L12" i="43"/>
  <c r="L12" i="42"/>
  <c r="L22" i="42"/>
  <c r="L22" i="43"/>
  <c r="L10" i="42"/>
  <c r="L10" i="43"/>
  <c r="L26" i="43"/>
  <c r="L26" i="42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4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23" i="7"/>
  <c r="F315" i="7"/>
  <c r="F316" i="7"/>
  <c r="F317" i="7"/>
  <c r="F318" i="7"/>
  <c r="F319" i="7"/>
  <c r="F320" i="7"/>
  <c r="F321" i="7"/>
  <c r="F322" i="7"/>
  <c r="F304" i="7"/>
  <c r="F305" i="7"/>
  <c r="F306" i="7"/>
  <c r="F307" i="7"/>
  <c r="F308" i="7"/>
  <c r="F309" i="7"/>
  <c r="F310" i="7"/>
  <c r="F311" i="7"/>
  <c r="F312" i="7"/>
  <c r="F313" i="7"/>
  <c r="F314" i="7"/>
  <c r="F303" i="7"/>
  <c r="O52" i="7"/>
  <c r="N52" i="7"/>
  <c r="M52" i="7"/>
  <c r="A12" i="46" l="1"/>
  <c r="A14" i="46" s="1"/>
  <c r="A21" i="46"/>
  <c r="C14" i="46" s="1"/>
  <c r="C38" i="42"/>
  <c r="C38" i="43"/>
  <c r="C7" i="42" s="1"/>
  <c r="B3" i="38"/>
  <c r="C15" i="46" l="1"/>
  <c r="C21" i="46"/>
  <c r="C13" i="46"/>
  <c r="C20" i="46"/>
  <c r="C19" i="46"/>
  <c r="C18" i="46"/>
  <c r="C12" i="46"/>
  <c r="C17" i="46"/>
  <c r="C16" i="46"/>
  <c r="J13" i="38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62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39" i="7"/>
  <c r="F140" i="7"/>
  <c r="F141" i="7"/>
  <c r="F142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21" i="7"/>
  <c r="F122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91" i="7"/>
  <c r="F92" i="7"/>
  <c r="F93" i="7"/>
  <c r="F94" i="7"/>
  <c r="F95" i="7"/>
  <c r="F96" i="7"/>
  <c r="F97" i="7"/>
  <c r="F98" i="7"/>
  <c r="F99" i="7"/>
  <c r="F100" i="7"/>
  <c r="F101" i="7"/>
  <c r="F102" i="7"/>
  <c r="F85" i="7"/>
  <c r="F86" i="7"/>
  <c r="F87" i="7"/>
  <c r="F88" i="7"/>
  <c r="F89" i="7"/>
  <c r="F90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C1" i="46" l="1"/>
  <c r="E148" i="7"/>
  <c r="E147" i="7"/>
  <c r="C203" i="7" l="1"/>
  <c r="C183" i="7"/>
  <c r="E149" i="7"/>
  <c r="C243" i="7" l="1"/>
  <c r="C223" i="7"/>
  <c r="E150" i="7"/>
  <c r="A84" i="7" l="1"/>
  <c r="C263" i="7"/>
  <c r="E152" i="7"/>
  <c r="E151" i="7"/>
  <c r="A103" i="7" l="1"/>
  <c r="A104" i="7" s="1"/>
  <c r="A105" i="7" s="1"/>
  <c r="A106" i="7" s="1"/>
  <c r="C83" i="7"/>
  <c r="D83" i="7"/>
  <c r="C303" i="7"/>
  <c r="C283" i="7"/>
  <c r="E153" i="7"/>
  <c r="E154" i="7" s="1"/>
  <c r="A107" i="7" l="1"/>
  <c r="A108" i="7" s="1"/>
  <c r="C343" i="7"/>
  <c r="C323" i="7"/>
  <c r="E155" i="7"/>
  <c r="E156" i="7" s="1"/>
  <c r="E157" i="7" s="1"/>
  <c r="E158" i="7" s="1"/>
  <c r="E159" i="7" s="1"/>
  <c r="E160" i="7" s="1"/>
  <c r="E161" i="7" s="1"/>
  <c r="E162" i="7" s="1"/>
  <c r="A109" i="7" l="1"/>
  <c r="A126" i="7"/>
  <c r="A134" i="7"/>
  <c r="A143" i="7"/>
  <c r="L52" i="7"/>
  <c r="K52" i="7"/>
  <c r="J52" i="7"/>
  <c r="I52" i="7"/>
  <c r="H52" i="7"/>
  <c r="F52" i="7"/>
  <c r="E52" i="7"/>
  <c r="D52" i="7"/>
  <c r="C52" i="7"/>
  <c r="B52" i="7"/>
  <c r="A52" i="7"/>
  <c r="E62" i="7"/>
  <c r="E63" i="7" s="1"/>
  <c r="F283" i="7"/>
  <c r="F263" i="7"/>
  <c r="F243" i="7"/>
  <c r="F223" i="7"/>
  <c r="F203" i="7"/>
  <c r="F184" i="7"/>
  <c r="F183" i="7"/>
  <c r="F179" i="7"/>
  <c r="F180" i="7"/>
  <c r="F181" i="7"/>
  <c r="F182" i="7"/>
  <c r="F163" i="7"/>
  <c r="F144" i="7"/>
  <c r="F143" i="7"/>
  <c r="F124" i="7"/>
  <c r="F123" i="7"/>
  <c r="F104" i="7"/>
  <c r="F103" i="7"/>
  <c r="F84" i="7"/>
  <c r="F83" i="7"/>
  <c r="F64" i="7"/>
  <c r="F79" i="7"/>
  <c r="F80" i="7"/>
  <c r="F81" i="7"/>
  <c r="F82" i="7"/>
  <c r="F63" i="7"/>
  <c r="A110" i="7" l="1"/>
  <c r="A111" i="7" s="1"/>
  <c r="A144" i="7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" i="35"/>
  <c r="E64" i="7"/>
  <c r="A112" i="7" l="1"/>
  <c r="A113" i="7" s="1"/>
  <c r="A164" i="7"/>
  <c r="A165" i="7" s="1"/>
  <c r="C143" i="7"/>
  <c r="B8" i="35"/>
  <c r="C8" i="35" s="1"/>
  <c r="B15" i="35"/>
  <c r="C15" i="35" s="1"/>
  <c r="B10" i="35"/>
  <c r="C10" i="35" s="1"/>
  <c r="B13" i="35"/>
  <c r="C13" i="35" s="1"/>
  <c r="B12" i="35"/>
  <c r="C12" i="35" s="1"/>
  <c r="B16" i="35"/>
  <c r="C16" i="35" s="1"/>
  <c r="B11" i="35"/>
  <c r="C11" i="35" s="1"/>
  <c r="B9" i="35"/>
  <c r="C9" i="35" s="1"/>
  <c r="B7" i="35"/>
  <c r="C7" i="35" s="1"/>
  <c r="B14" i="35"/>
  <c r="C14" i="35" s="1"/>
  <c r="D143" i="7"/>
  <c r="E65" i="7"/>
  <c r="J13" i="1"/>
  <c r="L2" i="2"/>
  <c r="G2" i="2"/>
  <c r="H2" i="2" s="1"/>
  <c r="B17" i="35" l="1"/>
  <c r="C17" i="35" s="1"/>
  <c r="A114" i="7"/>
  <c r="B14" i="29"/>
  <c r="B12" i="29"/>
  <c r="B8" i="29"/>
  <c r="B9" i="29"/>
  <c r="B10" i="29"/>
  <c r="C6" i="29"/>
  <c r="B7" i="29"/>
  <c r="C12" i="29"/>
  <c r="C14" i="29"/>
  <c r="B13" i="29"/>
  <c r="C7" i="29"/>
  <c r="B6" i="29"/>
  <c r="C9" i="29"/>
  <c r="C8" i="29"/>
  <c r="C11" i="29"/>
  <c r="C10" i="29"/>
  <c r="C13" i="29"/>
  <c r="B11" i="29"/>
  <c r="B18" i="35"/>
  <c r="C18" i="35" s="1"/>
  <c r="B6" i="35"/>
  <c r="C6" i="35" s="1"/>
  <c r="C163" i="7"/>
  <c r="D163" i="7"/>
  <c r="K2" i="2"/>
  <c r="E18" i="43"/>
  <c r="F18" i="43" s="1"/>
  <c r="G18" i="43" s="1"/>
  <c r="H18" i="43" s="1"/>
  <c r="E28" i="42"/>
  <c r="F28" i="42" s="1"/>
  <c r="G28" i="42" s="1"/>
  <c r="H28" i="42" s="1"/>
  <c r="E13" i="42"/>
  <c r="F13" i="42" s="1"/>
  <c r="G13" i="42" s="1"/>
  <c r="H13" i="42" s="1"/>
  <c r="E23" i="43"/>
  <c r="F23" i="43" s="1"/>
  <c r="G23" i="43" s="1"/>
  <c r="H23" i="43" s="1"/>
  <c r="E8" i="42"/>
  <c r="F8" i="42" s="1"/>
  <c r="E33" i="43"/>
  <c r="F33" i="43" s="1"/>
  <c r="G33" i="43" s="1"/>
  <c r="H33" i="43" s="1"/>
  <c r="E33" i="42"/>
  <c r="F33" i="42" s="1"/>
  <c r="G33" i="42" s="1"/>
  <c r="H33" i="42" s="1"/>
  <c r="E8" i="43"/>
  <c r="E18" i="42"/>
  <c r="F18" i="42" s="1"/>
  <c r="G18" i="42" s="1"/>
  <c r="H18" i="42" s="1"/>
  <c r="E23" i="42"/>
  <c r="F23" i="42" s="1"/>
  <c r="G23" i="42" s="1"/>
  <c r="H23" i="42" s="1"/>
  <c r="E28" i="43"/>
  <c r="F28" i="43" s="1"/>
  <c r="G28" i="43" s="1"/>
  <c r="H28" i="43" s="1"/>
  <c r="E13" i="43"/>
  <c r="F13" i="43" s="1"/>
  <c r="G13" i="43" s="1"/>
  <c r="H13" i="43" s="1"/>
  <c r="L16" i="42"/>
  <c r="L38" i="42" s="1"/>
  <c r="L16" i="43"/>
  <c r="L38" i="43" s="1"/>
  <c r="L7" i="42" s="1"/>
  <c r="L15" i="38"/>
  <c r="L16" i="38" s="1" a="1"/>
  <c r="L16" i="38" s="1"/>
  <c r="L17" i="38" s="1" a="1"/>
  <c r="L17" i="38" s="1"/>
  <c r="L18" i="38" s="1" a="1"/>
  <c r="L18" i="38" s="1"/>
  <c r="L19" i="38" s="1" a="1"/>
  <c r="L19" i="38" s="1"/>
  <c r="L20" i="38" s="1" a="1"/>
  <c r="L20" i="38" s="1"/>
  <c r="L21" i="38" s="1" a="1"/>
  <c r="L21" i="38" s="1"/>
  <c r="L22" i="38" s="1" a="1"/>
  <c r="L22" i="38" s="1"/>
  <c r="L23" i="38" s="1" a="1"/>
  <c r="L23" i="38" s="1"/>
  <c r="L24" i="38" s="1" a="1"/>
  <c r="L24" i="38" s="1"/>
  <c r="L25" i="38" s="1" a="1"/>
  <c r="L25" i="38" s="1"/>
  <c r="L26" i="38" s="1" a="1"/>
  <c r="L26" i="38" s="1"/>
  <c r="L27" i="38" s="1" a="1"/>
  <c r="L27" i="38" s="1"/>
  <c r="K15" i="38"/>
  <c r="K16" i="38" s="1" a="1"/>
  <c r="K16" i="38" s="1"/>
  <c r="K17" i="38" s="1" a="1"/>
  <c r="K17" i="38" s="1"/>
  <c r="K18" i="38" s="1" a="1"/>
  <c r="K18" i="38" s="1"/>
  <c r="K19" i="38" s="1" a="1"/>
  <c r="K19" i="38" s="1"/>
  <c r="K20" i="38" s="1" a="1"/>
  <c r="K20" i="38" s="1"/>
  <c r="K21" i="38" s="1" a="1"/>
  <c r="K21" i="38" s="1"/>
  <c r="K22" i="38" s="1" a="1"/>
  <c r="K22" i="38" s="1"/>
  <c r="K23" i="38" s="1" a="1"/>
  <c r="K23" i="38" s="1"/>
  <c r="K24" i="38" s="1" a="1"/>
  <c r="K24" i="38" s="1"/>
  <c r="K25" i="38" s="1" a="1"/>
  <c r="K25" i="38" s="1"/>
  <c r="K26" i="38" s="1" a="1"/>
  <c r="K26" i="38" s="1"/>
  <c r="K27" i="38" s="1" a="1"/>
  <c r="K27" i="38" s="1"/>
  <c r="K28" i="38" s="1" a="1"/>
  <c r="K28" i="38" s="1"/>
  <c r="K29" i="38" s="1" a="1"/>
  <c r="K29" i="38" s="1"/>
  <c r="K30" i="38" s="1" a="1"/>
  <c r="K30" i="38" s="1"/>
  <c r="K31" i="38" s="1" a="1"/>
  <c r="K31" i="38" s="1"/>
  <c r="K32" i="38" s="1" a="1"/>
  <c r="K32" i="38" s="1"/>
  <c r="C19" i="38"/>
  <c r="C18" i="38"/>
  <c r="E66" i="7"/>
  <c r="K15" i="1"/>
  <c r="L15" i="1"/>
  <c r="A122" i="7" l="1"/>
  <c r="A115" i="7"/>
  <c r="B19" i="35"/>
  <c r="C19" i="35" s="1"/>
  <c r="D7" i="29"/>
  <c r="E7" i="29"/>
  <c r="D10" i="29"/>
  <c r="E10" i="29"/>
  <c r="E6" i="29"/>
  <c r="D6" i="29"/>
  <c r="D9" i="29"/>
  <c r="E9" i="29"/>
  <c r="E8" i="29"/>
  <c r="D8" i="29"/>
  <c r="E11" i="29"/>
  <c r="D11" i="29"/>
  <c r="D13" i="29"/>
  <c r="E13" i="29"/>
  <c r="D12" i="29"/>
  <c r="E12" i="29"/>
  <c r="D14" i="29"/>
  <c r="E14" i="29"/>
  <c r="A6" i="35"/>
  <c r="D6" i="35" s="1"/>
  <c r="E38" i="43"/>
  <c r="E7" i="42" s="1"/>
  <c r="F8" i="43"/>
  <c r="G8" i="43" s="1"/>
  <c r="E38" i="42"/>
  <c r="F38" i="42"/>
  <c r="G8" i="42"/>
  <c r="D21" i="38"/>
  <c r="L28" i="38" a="1"/>
  <c r="L28" i="38" s="1"/>
  <c r="B21" i="38"/>
  <c r="H17" i="38"/>
  <c r="C17" i="38"/>
  <c r="H16" i="38"/>
  <c r="E16" i="38"/>
  <c r="E17" i="38"/>
  <c r="C16" i="38"/>
  <c r="D6" i="38"/>
  <c r="K33" i="38" a="1"/>
  <c r="K33" i="38" s="1"/>
  <c r="B6" i="38"/>
  <c r="B20" i="38"/>
  <c r="D20" i="38"/>
  <c r="A2" i="1"/>
  <c r="E67" i="7"/>
  <c r="L16" i="1" a="1"/>
  <c r="L16" i="1" s="1"/>
  <c r="K16" i="1" a="1"/>
  <c r="K16" i="1" s="1"/>
  <c r="K18" i="1" s="1" a="1"/>
  <c r="K18" i="1" s="1"/>
  <c r="K19" i="1" s="1" a="1"/>
  <c r="K19" i="1" s="1"/>
  <c r="K20" i="1" s="1" a="1"/>
  <c r="K20" i="1" s="1"/>
  <c r="A123" i="7" l="1"/>
  <c r="B21" i="35" s="1"/>
  <c r="C21" i="35" s="1"/>
  <c r="B20" i="35"/>
  <c r="C20" i="35" s="1"/>
  <c r="A124" i="7"/>
  <c r="C103" i="7"/>
  <c r="D103" i="7"/>
  <c r="K17" i="1" a="1"/>
  <c r="K17" i="1" s="1"/>
  <c r="F38" i="43"/>
  <c r="F7" i="42" s="1"/>
  <c r="H8" i="43"/>
  <c r="H38" i="43" s="1"/>
  <c r="G38" i="43"/>
  <c r="G7" i="42" s="1"/>
  <c r="H8" i="42"/>
  <c r="H38" i="42" s="1"/>
  <c r="G38" i="42"/>
  <c r="L29" i="38" a="1"/>
  <c r="L29" i="38" s="1"/>
  <c r="L30" i="38" s="1" a="1"/>
  <c r="L30" i="38" s="1"/>
  <c r="L31" i="38" s="1" a="1"/>
  <c r="L31" i="38" s="1"/>
  <c r="L32" i="38" s="1" a="1"/>
  <c r="L32" i="38" s="1"/>
  <c r="L33" i="38" s="1" a="1"/>
  <c r="L33" i="38" s="1"/>
  <c r="L34" i="38" s="1" a="1"/>
  <c r="L34" i="38" s="1"/>
  <c r="L35" i="38" s="1" a="1"/>
  <c r="L35" i="38" s="1"/>
  <c r="L36" i="38" s="1" a="1"/>
  <c r="L36" i="38" s="1"/>
  <c r="D22" i="38"/>
  <c r="B22" i="38"/>
  <c r="K34" i="38" a="1"/>
  <c r="K34" i="38" s="1"/>
  <c r="B7" i="38"/>
  <c r="D7" i="38"/>
  <c r="E18" i="38"/>
  <c r="E19" i="38"/>
  <c r="E68" i="7"/>
  <c r="K21" i="1" a="1"/>
  <c r="K21" i="1" s="1"/>
  <c r="B11" i="1" s="1"/>
  <c r="D10" i="1"/>
  <c r="L17" i="1" a="1"/>
  <c r="L17" i="1" s="1"/>
  <c r="D21" i="1" s="1"/>
  <c r="D20" i="1"/>
  <c r="B20" i="1"/>
  <c r="D6" i="1"/>
  <c r="B6" i="1"/>
  <c r="A125" i="7" l="1"/>
  <c r="C123" i="7" s="1"/>
  <c r="B27" i="35"/>
  <c r="C27" i="35" s="1"/>
  <c r="B22" i="35"/>
  <c r="C22" i="35" s="1"/>
  <c r="B46" i="35"/>
  <c r="C46" i="35" s="1"/>
  <c r="B28" i="35"/>
  <c r="C28" i="35" s="1"/>
  <c r="B34" i="35"/>
  <c r="C34" i="35" s="1"/>
  <c r="B41" i="35"/>
  <c r="C41" i="35" s="1"/>
  <c r="B48" i="35"/>
  <c r="C48" i="35" s="1"/>
  <c r="A8" i="35"/>
  <c r="D8" i="35" s="1"/>
  <c r="B36" i="35"/>
  <c r="C36" i="35" s="1"/>
  <c r="B43" i="35"/>
  <c r="C43" i="35" s="1"/>
  <c r="M39" i="43"/>
  <c r="H7" i="42"/>
  <c r="F24" i="38"/>
  <c r="H24" i="38"/>
  <c r="H23" i="38"/>
  <c r="F23" i="38"/>
  <c r="H22" i="38"/>
  <c r="F22" i="38"/>
  <c r="F21" i="38"/>
  <c r="H21" i="38"/>
  <c r="F20" i="38"/>
  <c r="H20" i="38"/>
  <c r="D25" i="38"/>
  <c r="B25" i="38"/>
  <c r="D24" i="38"/>
  <c r="B24" i="38"/>
  <c r="B23" i="38"/>
  <c r="D23" i="38"/>
  <c r="K35" i="38" a="1"/>
  <c r="K35" i="38" s="1"/>
  <c r="D8" i="38"/>
  <c r="B8" i="38"/>
  <c r="E69" i="7"/>
  <c r="K22" i="1" a="1"/>
  <c r="K22" i="1" s="1"/>
  <c r="K23" i="1" s="1" a="1"/>
  <c r="K23" i="1" s="1"/>
  <c r="K24" i="1" s="1" a="1"/>
  <c r="K24" i="1" s="1"/>
  <c r="K25" i="1" s="1" a="1"/>
  <c r="K25" i="1" s="1"/>
  <c r="K26" i="1" s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L18" i="1" a="1"/>
  <c r="L18" i="1" s="1"/>
  <c r="D22" i="1" s="1"/>
  <c r="B21" i="1"/>
  <c r="D7" i="1"/>
  <c r="B7" i="1"/>
  <c r="B8" i="1"/>
  <c r="D8" i="1"/>
  <c r="B23" i="35" l="1"/>
  <c r="C23" i="35" s="1"/>
  <c r="B42" i="35"/>
  <c r="C42" i="35" s="1"/>
  <c r="B38" i="35"/>
  <c r="C38" i="35" s="1"/>
  <c r="B37" i="35"/>
  <c r="C37" i="35" s="1"/>
  <c r="B47" i="35"/>
  <c r="C47" i="35" s="1"/>
  <c r="B35" i="35"/>
  <c r="C35" i="35" s="1"/>
  <c r="B33" i="35"/>
  <c r="C33" i="35" s="1"/>
  <c r="B29" i="35"/>
  <c r="C29" i="35" s="1"/>
  <c r="B30" i="35"/>
  <c r="C30" i="35" s="1"/>
  <c r="B25" i="35"/>
  <c r="C25" i="35" s="1"/>
  <c r="B39" i="35"/>
  <c r="C39" i="35" s="1"/>
  <c r="B26" i="35"/>
  <c r="C26" i="35" s="1"/>
  <c r="B40" i="35"/>
  <c r="C40" i="35" s="1"/>
  <c r="A48" i="35"/>
  <c r="D48" i="35" s="1"/>
  <c r="A25" i="35"/>
  <c r="D25" i="35" s="1"/>
  <c r="A19" i="35"/>
  <c r="D19" i="35" s="1"/>
  <c r="A46" i="35"/>
  <c r="D46" i="35" s="1"/>
  <c r="A38" i="35"/>
  <c r="D38" i="35" s="1"/>
  <c r="A32" i="35"/>
  <c r="D32" i="35" s="1"/>
  <c r="A23" i="35"/>
  <c r="D23" i="35" s="1"/>
  <c r="A52" i="35"/>
  <c r="D52" i="35" s="1"/>
  <c r="A37" i="35"/>
  <c r="D37" i="35" s="1"/>
  <c r="A30" i="35"/>
  <c r="D30" i="35" s="1"/>
  <c r="A27" i="35"/>
  <c r="D27" i="35" s="1"/>
  <c r="A42" i="35"/>
  <c r="D42" i="35" s="1"/>
  <c r="A16" i="35"/>
  <c r="D16" i="35" s="1"/>
  <c r="A10" i="35"/>
  <c r="D10" i="35" s="1"/>
  <c r="A49" i="35"/>
  <c r="D49" i="35" s="1"/>
  <c r="A26" i="35"/>
  <c r="D26" i="35" s="1"/>
  <c r="A50" i="35"/>
  <c r="D50" i="35" s="1"/>
  <c r="A34" i="35"/>
  <c r="D34" i="35" s="1"/>
  <c r="A17" i="35"/>
  <c r="D17" i="35" s="1"/>
  <c r="A47" i="35"/>
  <c r="D47" i="35" s="1"/>
  <c r="A43" i="35"/>
  <c r="D43" i="35" s="1"/>
  <c r="A24" i="35"/>
  <c r="D24" i="35" s="1"/>
  <c r="A51" i="35"/>
  <c r="D51" i="35" s="1"/>
  <c r="A9" i="35"/>
  <c r="D9" i="35" s="1"/>
  <c r="A14" i="35"/>
  <c r="D14" i="35" s="1"/>
  <c r="A12" i="35"/>
  <c r="D12" i="35" s="1"/>
  <c r="A36" i="35"/>
  <c r="D36" i="35" s="1"/>
  <c r="A15" i="35"/>
  <c r="D15" i="35" s="1"/>
  <c r="A7" i="35"/>
  <c r="D7" i="35" s="1"/>
  <c r="A31" i="35"/>
  <c r="D31" i="35" s="1"/>
  <c r="A45" i="35"/>
  <c r="D45" i="35" s="1"/>
  <c r="A41" i="35"/>
  <c r="D41" i="35" s="1"/>
  <c r="A11" i="35"/>
  <c r="D11" i="35" s="1"/>
  <c r="A35" i="35"/>
  <c r="D35" i="35" s="1"/>
  <c r="A28" i="35"/>
  <c r="D28" i="35" s="1"/>
  <c r="A13" i="35"/>
  <c r="D13" i="35" s="1"/>
  <c r="A40" i="35"/>
  <c r="D40" i="35" s="1"/>
  <c r="A20" i="35"/>
  <c r="D20" i="35" s="1"/>
  <c r="A18" i="35"/>
  <c r="D18" i="35" s="1"/>
  <c r="A44" i="35"/>
  <c r="D44" i="35" s="1"/>
  <c r="A39" i="35"/>
  <c r="D39" i="35" s="1"/>
  <c r="A22" i="35"/>
  <c r="D22" i="35" s="1"/>
  <c r="A29" i="35"/>
  <c r="D29" i="35" s="1"/>
  <c r="A33" i="35"/>
  <c r="D33" i="35" s="1"/>
  <c r="D123" i="7"/>
  <c r="B32" i="35"/>
  <c r="C32" i="35" s="1"/>
  <c r="B31" i="35"/>
  <c r="C31" i="35" s="1"/>
  <c r="B24" i="35"/>
  <c r="C24" i="35" s="1"/>
  <c r="B44" i="35"/>
  <c r="C44" i="35" s="1"/>
  <c r="B49" i="35"/>
  <c r="C49" i="35" s="1"/>
  <c r="B52" i="35"/>
  <c r="C52" i="35" s="1"/>
  <c r="B50" i="35"/>
  <c r="C50" i="35" s="1"/>
  <c r="B45" i="35"/>
  <c r="C45" i="35" s="1"/>
  <c r="B51" i="35"/>
  <c r="C51" i="35" s="1"/>
  <c r="E70" i="7"/>
  <c r="E71" i="7" s="1"/>
  <c r="K36" i="38" a="1"/>
  <c r="K36" i="38" s="1"/>
  <c r="B9" i="38"/>
  <c r="D9" i="38"/>
  <c r="K33" i="1" a="1"/>
  <c r="K33" i="1" s="1"/>
  <c r="K34" i="1" s="1" a="1"/>
  <c r="K34" i="1" s="1"/>
  <c r="K35" i="1" s="1" a="1"/>
  <c r="K35" i="1" s="1"/>
  <c r="K36" i="1" s="1" a="1"/>
  <c r="K36" i="1" s="1"/>
  <c r="K37" i="1" s="1" a="1"/>
  <c r="K37" i="1" s="1"/>
  <c r="K38" i="1" s="1" a="1"/>
  <c r="K38" i="1" s="1"/>
  <c r="K39" i="1" s="1" a="1"/>
  <c r="K39" i="1" s="1"/>
  <c r="K40" i="1" s="1" a="1"/>
  <c r="K40" i="1" s="1"/>
  <c r="K41" i="1" s="1" a="1"/>
  <c r="K41" i="1" s="1"/>
  <c r="K42" i="1" s="1" a="1"/>
  <c r="K42" i="1" s="1"/>
  <c r="K43" i="1" s="1" a="1"/>
  <c r="K43" i="1" s="1"/>
  <c r="K44" i="1" s="1" a="1"/>
  <c r="K44" i="1" s="1"/>
  <c r="K45" i="1" s="1" a="1"/>
  <c r="K45" i="1" s="1"/>
  <c r="K46" i="1" s="1" a="1"/>
  <c r="K46" i="1" s="1"/>
  <c r="K47" i="1" s="1" a="1"/>
  <c r="K47" i="1" s="1"/>
  <c r="K48" i="1" s="1" a="1"/>
  <c r="K48" i="1" s="1"/>
  <c r="H13" i="1"/>
  <c r="F13" i="1"/>
  <c r="B22" i="1"/>
  <c r="L19" i="1" a="1"/>
  <c r="L19" i="1" s="1"/>
  <c r="D23" i="1" s="1"/>
  <c r="B9" i="1"/>
  <c r="D9" i="1"/>
  <c r="A21" i="35" l="1"/>
  <c r="D21" i="35" s="1"/>
  <c r="E72" i="7"/>
  <c r="K37" i="38" a="1"/>
  <c r="K37" i="38" s="1"/>
  <c r="D10" i="38"/>
  <c r="B10" i="38"/>
  <c r="E73" i="7"/>
  <c r="E74" i="7" s="1"/>
  <c r="E75" i="7" s="1"/>
  <c r="L20" i="1" a="1"/>
  <c r="L20" i="1" s="1"/>
  <c r="D24" i="1" s="1"/>
  <c r="B23" i="1"/>
  <c r="D11" i="1"/>
  <c r="B10" i="1"/>
  <c r="E76" i="7" l="1"/>
  <c r="E77" i="7" s="1"/>
  <c r="K38" i="38" a="1"/>
  <c r="K38" i="38" s="1"/>
  <c r="D11" i="38"/>
  <c r="B11" i="38"/>
  <c r="E78" i="7"/>
  <c r="E79" i="7" s="1"/>
  <c r="E80" i="7"/>
  <c r="E81" i="7" s="1"/>
  <c r="B24" i="1"/>
  <c r="L21" i="1" a="1"/>
  <c r="L21" i="1" s="1"/>
  <c r="D25" i="1" s="1"/>
  <c r="B12" i="1"/>
  <c r="D12" i="1"/>
  <c r="K39" i="38" l="1" a="1"/>
  <c r="K39" i="38" s="1"/>
  <c r="D12" i="38"/>
  <c r="B12" i="38"/>
  <c r="E82" i="7"/>
  <c r="H63" i="7" s="1"/>
  <c r="L22" i="1" a="1"/>
  <c r="L22" i="1" s="1"/>
  <c r="H20" i="1" s="1"/>
  <c r="B25" i="1"/>
  <c r="D13" i="1"/>
  <c r="B13" i="1"/>
  <c r="K40" i="38" l="1" a="1"/>
  <c r="K40" i="38" s="1"/>
  <c r="D13" i="38"/>
  <c r="B13" i="38"/>
  <c r="E83" i="7"/>
  <c r="G63" i="7"/>
  <c r="F6" i="35"/>
  <c r="G6" i="35" s="1"/>
  <c r="F20" i="1"/>
  <c r="L23" i="1" a="1"/>
  <c r="L23" i="1" s="1"/>
  <c r="H21" i="1" s="1"/>
  <c r="D14" i="1"/>
  <c r="B14" i="1"/>
  <c r="E6" i="35" l="1"/>
  <c r="K41" i="38" a="1"/>
  <c r="K41" i="38" s="1"/>
  <c r="B14" i="38"/>
  <c r="D14" i="38"/>
  <c r="F7" i="35"/>
  <c r="G7" i="35" s="1"/>
  <c r="E84" i="7"/>
  <c r="F21" i="1"/>
  <c r="L24" i="1" a="1"/>
  <c r="L24" i="1" s="1"/>
  <c r="H22" i="1" s="1"/>
  <c r="H6" i="1"/>
  <c r="F6" i="1"/>
  <c r="K42" i="38" l="1" a="1"/>
  <c r="K42" i="38" s="1"/>
  <c r="F6" i="38"/>
  <c r="H6" i="38"/>
  <c r="E85" i="7"/>
  <c r="E86" i="7" s="1"/>
  <c r="E87" i="7" s="1"/>
  <c r="E88" i="7" s="1"/>
  <c r="E89" i="7" s="1"/>
  <c r="E90" i="7" s="1"/>
  <c r="E91" i="7" s="1"/>
  <c r="E92" i="7" s="1"/>
  <c r="E93" i="7" s="1"/>
  <c r="E94" i="7" s="1"/>
  <c r="E95" i="7" s="1"/>
  <c r="E96" i="7" s="1"/>
  <c r="E97" i="7" s="1"/>
  <c r="E98" i="7" s="1"/>
  <c r="E99" i="7" s="1"/>
  <c r="E100" i="7" s="1"/>
  <c r="E101" i="7" s="1"/>
  <c r="E102" i="7" s="1"/>
  <c r="E103" i="7" s="1"/>
  <c r="F22" i="1"/>
  <c r="L25" i="1" a="1"/>
  <c r="L25" i="1" s="1"/>
  <c r="F23" i="1" s="1"/>
  <c r="F7" i="1"/>
  <c r="H7" i="1"/>
  <c r="K43" i="38" l="1" a="1"/>
  <c r="K43" i="38" s="1"/>
  <c r="F7" i="38"/>
  <c r="H7" i="38"/>
  <c r="H83" i="7"/>
  <c r="F8" i="35"/>
  <c r="G8" i="35" s="1"/>
  <c r="E104" i="7"/>
  <c r="G83" i="7"/>
  <c r="H23" i="1"/>
  <c r="L26" i="1" a="1"/>
  <c r="L26" i="1" s="1"/>
  <c r="L27" i="1" s="1" a="1"/>
  <c r="L27" i="1" s="1"/>
  <c r="L28" i="1" s="1" a="1"/>
  <c r="L28" i="1" s="1"/>
  <c r="L29" i="1" s="1" a="1"/>
  <c r="L29" i="1" s="1"/>
  <c r="L30" i="1" s="1" a="1"/>
  <c r="L30" i="1" s="1"/>
  <c r="L31" i="1" s="1" a="1"/>
  <c r="L31" i="1" s="1"/>
  <c r="L32" i="1" s="1" a="1"/>
  <c r="L32" i="1" s="1"/>
  <c r="L33" i="1" s="1" a="1"/>
  <c r="L33" i="1" s="1"/>
  <c r="L34" i="1" s="1" a="1"/>
  <c r="L34" i="1" s="1"/>
  <c r="L35" i="1" s="1" a="1"/>
  <c r="L35" i="1" s="1"/>
  <c r="L36" i="1" s="1" a="1"/>
  <c r="L36" i="1" s="1"/>
  <c r="F8" i="1"/>
  <c r="H8" i="1"/>
  <c r="K44" i="38" l="1" a="1"/>
  <c r="K44" i="38" s="1"/>
  <c r="H8" i="38"/>
  <c r="F8" i="38"/>
  <c r="F24" i="1"/>
  <c r="H24" i="1"/>
  <c r="H25" i="1" s="1"/>
  <c r="E105" i="7"/>
  <c r="H9" i="1"/>
  <c r="F9" i="1"/>
  <c r="K45" i="38" l="1" a="1"/>
  <c r="K45" i="38" s="1"/>
  <c r="H9" i="38"/>
  <c r="F9" i="38"/>
  <c r="E106" i="7"/>
  <c r="E107" i="7" s="1"/>
  <c r="F10" i="1"/>
  <c r="H10" i="1"/>
  <c r="E108" i="7" l="1"/>
  <c r="K46" i="38" a="1"/>
  <c r="K46" i="38" s="1"/>
  <c r="F10" i="38"/>
  <c r="H10" i="38"/>
  <c r="E109" i="7"/>
  <c r="F11" i="1"/>
  <c r="H11" i="1"/>
  <c r="K47" i="38" l="1" a="1"/>
  <c r="K47" i="38" s="1"/>
  <c r="F11" i="38"/>
  <c r="H11" i="38"/>
  <c r="E110" i="7"/>
  <c r="F12" i="1"/>
  <c r="H12" i="1"/>
  <c r="D55" i="35"/>
  <c r="K48" i="38" l="1" a="1"/>
  <c r="K48" i="38" s="1"/>
  <c r="F12" i="38"/>
  <c r="H12" i="38"/>
  <c r="E111" i="7"/>
  <c r="F13" i="38" l="1"/>
  <c r="H13" i="38"/>
  <c r="H14" i="1" s="1"/>
  <c r="H14" i="38" s="1"/>
  <c r="G5" i="38" s="1"/>
  <c r="E112" i="7"/>
  <c r="C5" i="38" l="1"/>
  <c r="E113" i="7"/>
  <c r="E115" i="7"/>
  <c r="E116" i="7" s="1"/>
  <c r="B39" i="42" l="1"/>
  <c r="E114" i="7"/>
  <c r="E117" i="7" s="1"/>
  <c r="E118" i="7" s="1"/>
  <c r="E119" i="7" s="1"/>
  <c r="E120" i="7" s="1"/>
  <c r="E121" i="7"/>
  <c r="E122" i="7" s="1"/>
  <c r="D54" i="35"/>
  <c r="H54" i="35"/>
  <c r="C18" i="1"/>
  <c r="C5" i="29"/>
  <c r="C19" i="1"/>
  <c r="D3" i="29"/>
  <c r="B4" i="29"/>
  <c r="B5" i="29"/>
  <c r="C4" i="29"/>
  <c r="E3" i="29"/>
  <c r="E4" i="29"/>
  <c r="C3" i="29"/>
  <c r="D4" i="29"/>
  <c r="B3" i="29"/>
  <c r="H103" i="7" l="1"/>
  <c r="D5" i="29"/>
  <c r="E5" i="29"/>
  <c r="G103" i="7"/>
  <c r="E123" i="7"/>
  <c r="F8" i="29"/>
  <c r="F12" i="29"/>
  <c r="F6" i="29"/>
  <c r="F13" i="29"/>
  <c r="F3" i="29"/>
  <c r="F9" i="29"/>
  <c r="F10" i="29"/>
  <c r="F7" i="29"/>
  <c r="F11" i="29"/>
  <c r="F14" i="29"/>
  <c r="F4" i="29"/>
  <c r="H25" i="38"/>
  <c r="H16" i="1"/>
  <c r="H17" i="1"/>
  <c r="E16" i="1"/>
  <c r="E17" i="1"/>
  <c r="C16" i="1"/>
  <c r="C17" i="1"/>
  <c r="F5" i="29" l="1"/>
  <c r="E39" i="42"/>
  <c r="D39" i="42"/>
  <c r="L39" i="42"/>
  <c r="C39" i="42"/>
  <c r="D53" i="35"/>
  <c r="E19" i="1"/>
  <c r="E18" i="1"/>
  <c r="H39" i="42"/>
  <c r="M39" i="42" l="1"/>
  <c r="G39" i="42"/>
  <c r="F39" i="42"/>
  <c r="G5" i="1"/>
  <c r="C5" i="1"/>
  <c r="E124" i="7" l="1"/>
  <c r="E125" i="7" l="1"/>
  <c r="E126" i="7" s="1"/>
  <c r="E127" i="7" s="1"/>
  <c r="E128" i="7" s="1"/>
  <c r="E129" i="7" s="1"/>
  <c r="E130" i="7" s="1"/>
  <c r="E131" i="7" s="1"/>
  <c r="E132" i="7" s="1"/>
  <c r="E133" i="7" s="1"/>
  <c r="E134" i="7" s="1"/>
  <c r="E135" i="7" s="1"/>
  <c r="E136" i="7" s="1"/>
  <c r="E137" i="7" l="1"/>
  <c r="E138" i="7" s="1"/>
  <c r="E139" i="7" s="1"/>
  <c r="E140" i="7" s="1"/>
  <c r="E141" i="7" s="1"/>
  <c r="E142" i="7" s="1"/>
  <c r="E143" i="7" s="1"/>
  <c r="G123" i="7" l="1"/>
  <c r="H123" i="7"/>
  <c r="F9" i="35"/>
  <c r="G9" i="35" s="1"/>
  <c r="E144" i="7"/>
  <c r="E145" i="7" s="1"/>
  <c r="E146" i="7" s="1"/>
  <c r="F10" i="35"/>
  <c r="G10" i="35" s="1"/>
  <c r="G143" i="7" l="1"/>
  <c r="H143" i="7" l="1"/>
  <c r="E163" i="7"/>
  <c r="E164" i="7" s="1"/>
  <c r="E165" i="7" s="1"/>
  <c r="E166" i="7" s="1"/>
  <c r="E167" i="7" s="1"/>
  <c r="E168" i="7" l="1"/>
  <c r="E169" i="7" s="1"/>
  <c r="E170" i="7" s="1"/>
  <c r="E171" i="7" s="1"/>
  <c r="E172" i="7" s="1"/>
  <c r="E173" i="7" s="1"/>
  <c r="E174" i="7" s="1"/>
  <c r="E175" i="7" s="1"/>
  <c r="E176" i="7" s="1"/>
  <c r="E177" i="7" s="1"/>
  <c r="E178" i="7" s="1"/>
  <c r="F11" i="35"/>
  <c r="G11" i="35" s="1"/>
  <c r="E179" i="7" l="1"/>
  <c r="E180" i="7" l="1"/>
  <c r="E181" i="7"/>
  <c r="E182" i="7" l="1"/>
  <c r="E183" i="7" l="1"/>
  <c r="E184" i="7" s="1"/>
  <c r="G163" i="7"/>
  <c r="H163" i="7"/>
  <c r="E185" i="7" l="1"/>
  <c r="E186" i="7" l="1"/>
  <c r="E187" i="7" s="1"/>
  <c r="E188" i="7"/>
  <c r="E189" i="7" s="1"/>
  <c r="E190" i="7" s="1"/>
  <c r="E191" i="7" l="1"/>
  <c r="E192" i="7" l="1"/>
  <c r="E193" i="7" s="1"/>
  <c r="E194" i="7" s="1"/>
  <c r="E195" i="7" l="1"/>
  <c r="E196" i="7" s="1"/>
  <c r="E197" i="7" s="1"/>
  <c r="E198" i="7" s="1"/>
  <c r="E199" i="7" s="1"/>
  <c r="E200" i="7" s="1"/>
  <c r="E201" i="7" s="1"/>
  <c r="E202" i="7" s="1"/>
  <c r="G183" i="7" s="1"/>
  <c r="E203" i="7" l="1"/>
  <c r="E204" i="7" s="1"/>
  <c r="H183" i="7"/>
  <c r="E205" i="7" l="1"/>
  <c r="E206" i="7" s="1"/>
  <c r="E207" i="7" s="1"/>
  <c r="E208" i="7" l="1"/>
  <c r="E209" i="7" l="1"/>
  <c r="E210" i="7" l="1"/>
  <c r="E211" i="7" l="1"/>
  <c r="E212" i="7" l="1"/>
  <c r="E213" i="7" s="1"/>
  <c r="E214" i="7" s="1"/>
  <c r="E215" i="7" l="1"/>
  <c r="E216" i="7" l="1"/>
  <c r="E217" i="7" l="1"/>
  <c r="E218" i="7" l="1"/>
  <c r="E219" i="7" s="1"/>
  <c r="E220" i="7" s="1"/>
  <c r="E221" i="7" s="1"/>
  <c r="E222" i="7" s="1"/>
  <c r="E223" i="7" l="1"/>
  <c r="E224" i="7" s="1"/>
  <c r="E225" i="7" s="1"/>
  <c r="E226" i="7" s="1"/>
  <c r="E227" i="7" s="1"/>
  <c r="E228" i="7" s="1"/>
  <c r="E229" i="7" s="1"/>
  <c r="E230" i="7" s="1"/>
  <c r="E231" i="7" s="1"/>
  <c r="E232" i="7" s="1"/>
  <c r="E233" i="7" s="1"/>
  <c r="E234" i="7" s="1"/>
  <c r="E235" i="7" s="1"/>
  <c r="E236" i="7" s="1"/>
  <c r="E237" i="7" s="1"/>
  <c r="E238" i="7" s="1"/>
  <c r="E239" i="7" s="1"/>
  <c r="E240" i="7" s="1"/>
  <c r="E241" i="7" s="1"/>
  <c r="E242" i="7" s="1"/>
  <c r="H203" i="7"/>
  <c r="G203" i="7"/>
  <c r="F12" i="35"/>
  <c r="G12" i="35" s="1"/>
  <c r="E243" i="7" l="1"/>
  <c r="H223" i="7"/>
  <c r="G223" i="7"/>
  <c r="E259" i="7"/>
  <c r="E244" i="7" l="1"/>
  <c r="E260" i="7"/>
  <c r="E245" i="7" l="1"/>
  <c r="E261" i="7"/>
  <c r="E262" i="7"/>
  <c r="E246" i="7" l="1"/>
  <c r="E263" i="7"/>
  <c r="E264" i="7" s="1"/>
  <c r="E265" i="7" s="1"/>
  <c r="E266" i="7"/>
  <c r="E267" i="7" s="1"/>
  <c r="E247" i="7" l="1"/>
  <c r="E268" i="7"/>
  <c r="E248" i="7" l="1"/>
  <c r="E269" i="7"/>
  <c r="E270" i="7" s="1"/>
  <c r="E271" i="7"/>
  <c r="E249" i="7" l="1"/>
  <c r="E272" i="7"/>
  <c r="E250" i="7" l="1"/>
  <c r="E273" i="7"/>
  <c r="E251" i="7" l="1"/>
  <c r="E274" i="7"/>
  <c r="E252" i="7" l="1"/>
  <c r="E275" i="7"/>
  <c r="E276" i="7" s="1"/>
  <c r="E277" i="7" s="1"/>
  <c r="E278" i="7" s="1"/>
  <c r="E279" i="7" s="1"/>
  <c r="E280" i="7" s="1"/>
  <c r="E281" i="7" s="1"/>
  <c r="E282" i="7" s="1"/>
  <c r="E283" i="7" s="1"/>
  <c r="E284" i="7" s="1"/>
  <c r="E285" i="7" s="1"/>
  <c r="E286" i="7" s="1"/>
  <c r="E253" i="7" l="1"/>
  <c r="H263" i="7"/>
  <c r="G263" i="7"/>
  <c r="E287" i="7"/>
  <c r="E288" i="7" s="1"/>
  <c r="E289" i="7" s="1"/>
  <c r="E290" i="7" s="1"/>
  <c r="E291" i="7" s="1"/>
  <c r="E292" i="7" s="1"/>
  <c r="E293" i="7" s="1"/>
  <c r="E294" i="7" s="1"/>
  <c r="E295" i="7" s="1"/>
  <c r="E296" i="7" s="1"/>
  <c r="E297" i="7" s="1"/>
  <c r="E298" i="7" s="1"/>
  <c r="E299" i="7" s="1"/>
  <c r="E300" i="7" s="1"/>
  <c r="E301" i="7" s="1"/>
  <c r="E302" i="7" s="1"/>
  <c r="E254" i="7" l="1"/>
  <c r="E255" i="7" s="1"/>
  <c r="E256" i="7" s="1"/>
  <c r="E257" i="7" s="1"/>
  <c r="E258" i="7" s="1"/>
  <c r="F14" i="35"/>
  <c r="G14" i="35" s="1"/>
  <c r="F20" i="35"/>
  <c r="G20" i="35" s="1"/>
  <c r="F21" i="35"/>
  <c r="G21" i="35" s="1"/>
  <c r="F19" i="35"/>
  <c r="G19" i="35" s="1"/>
  <c r="F17" i="35"/>
  <c r="G17" i="35" s="1"/>
  <c r="F16" i="35"/>
  <c r="G16" i="35" s="1"/>
  <c r="F22" i="35"/>
  <c r="G22" i="35" s="1"/>
  <c r="F18" i="35"/>
  <c r="G18" i="35" s="1"/>
  <c r="F15" i="35"/>
  <c r="G15" i="35" s="1"/>
  <c r="E303" i="7"/>
  <c r="E304" i="7" s="1"/>
  <c r="G243" i="7" l="1"/>
  <c r="H243" i="7"/>
  <c r="E305" i="7"/>
  <c r="E306" i="7" l="1"/>
  <c r="E324" i="7"/>
  <c r="E325" i="7" s="1"/>
  <c r="E326" i="7" s="1"/>
  <c r="E327" i="7" s="1"/>
  <c r="E328" i="7" s="1"/>
  <c r="E329" i="7" s="1"/>
  <c r="E330" i="7" s="1"/>
  <c r="E331" i="7" s="1"/>
  <c r="E332" i="7" s="1"/>
  <c r="E333" i="7" s="1"/>
  <c r="E334" i="7" s="1"/>
  <c r="E335" i="7" s="1"/>
  <c r="E336" i="7" s="1"/>
  <c r="E337" i="7" s="1"/>
  <c r="E338" i="7" s="1"/>
  <c r="E339" i="7" s="1"/>
  <c r="E340" i="7" s="1"/>
  <c r="E341" i="7" s="1"/>
  <c r="E342" i="7" s="1"/>
  <c r="E343" i="7" s="1"/>
  <c r="E307" i="7" l="1"/>
  <c r="E344" i="7"/>
  <c r="E345" i="7" s="1"/>
  <c r="E346" i="7" s="1"/>
  <c r="E347" i="7" s="1"/>
  <c r="E348" i="7" s="1"/>
  <c r="E349" i="7" s="1"/>
  <c r="E350" i="7" s="1"/>
  <c r="E351" i="7" s="1"/>
  <c r="E352" i="7" s="1"/>
  <c r="E353" i="7" s="1"/>
  <c r="E354" i="7" s="1"/>
  <c r="E355" i="7" s="1"/>
  <c r="E356" i="7" s="1"/>
  <c r="E357" i="7" s="1"/>
  <c r="E358" i="7" s="1"/>
  <c r="E359" i="7" s="1"/>
  <c r="E360" i="7" s="1"/>
  <c r="E361" i="7" s="1"/>
  <c r="E362" i="7" s="1"/>
  <c r="F13" i="35"/>
  <c r="G13" i="35" s="1"/>
  <c r="H283" i="7"/>
  <c r="G283" i="7"/>
  <c r="E308" i="7" l="1"/>
  <c r="H343" i="7"/>
  <c r="G343" i="7"/>
  <c r="E309" i="7" l="1"/>
  <c r="E310" i="7" l="1"/>
  <c r="E311" i="7" l="1"/>
  <c r="E312" i="7" l="1"/>
  <c r="E313" i="7" l="1"/>
  <c r="E314" i="7" l="1"/>
  <c r="E315" i="7" l="1"/>
  <c r="E316" i="7" l="1"/>
  <c r="E317" i="7" l="1"/>
  <c r="E318" i="7" l="1"/>
  <c r="E319" i="7" s="1"/>
  <c r="E320" i="7" s="1"/>
  <c r="E321" i="7" s="1"/>
  <c r="E322" i="7" s="1"/>
  <c r="E323" i="7" l="1"/>
  <c r="G303" i="7"/>
  <c r="H303" i="7"/>
  <c r="F38" i="35" l="1"/>
  <c r="G38" i="35" s="1"/>
  <c r="F34" i="35"/>
  <c r="G34" i="35" s="1"/>
  <c r="F41" i="35"/>
  <c r="G41" i="35" s="1"/>
  <c r="F36" i="35"/>
  <c r="G36" i="35" s="1"/>
  <c r="F37" i="35"/>
  <c r="G37" i="35" s="1"/>
  <c r="F42" i="35"/>
  <c r="G42" i="35" s="1"/>
  <c r="F26" i="35"/>
  <c r="G26" i="35" s="1"/>
  <c r="F39" i="35"/>
  <c r="G39" i="35" s="1"/>
  <c r="F40" i="35"/>
  <c r="G40" i="35" s="1"/>
  <c r="F31" i="35"/>
  <c r="G31" i="35" s="1"/>
  <c r="F35" i="35"/>
  <c r="G35" i="35" s="1"/>
  <c r="F25" i="35"/>
  <c r="G25" i="35" s="1"/>
  <c r="F28" i="35"/>
  <c r="G28" i="35" s="1"/>
  <c r="F33" i="35"/>
  <c r="G33" i="35" s="1"/>
  <c r="F30" i="35"/>
  <c r="G30" i="35" s="1"/>
  <c r="F32" i="35"/>
  <c r="G32" i="35" s="1"/>
  <c r="F29" i="35"/>
  <c r="G29" i="35" s="1"/>
  <c r="F27" i="35"/>
  <c r="G27" i="35" s="1"/>
  <c r="F44" i="35"/>
  <c r="G44" i="35" s="1"/>
  <c r="F43" i="35"/>
  <c r="G43" i="35" s="1"/>
  <c r="F23" i="35"/>
  <c r="G23" i="35" s="1"/>
  <c r="F49" i="35"/>
  <c r="G49" i="35" s="1"/>
  <c r="F51" i="35"/>
  <c r="G51" i="35" s="1"/>
  <c r="F48" i="35"/>
  <c r="G48" i="35" s="1"/>
  <c r="F46" i="35"/>
  <c r="G46" i="35" s="1"/>
  <c r="F50" i="35"/>
  <c r="G50" i="35" s="1"/>
  <c r="F45" i="35"/>
  <c r="G45" i="35" s="1"/>
  <c r="F47" i="35"/>
  <c r="G47" i="35" s="1"/>
  <c r="F24" i="35"/>
  <c r="H323" i="7"/>
  <c r="G323" i="7"/>
  <c r="E11" i="35" s="1"/>
  <c r="H11" i="35" s="1"/>
  <c r="F52" i="35"/>
  <c r="G52" i="35" s="1"/>
  <c r="H6" i="35" l="1"/>
  <c r="G24" i="35"/>
  <c r="E44" i="35"/>
  <c r="H44" i="35" s="1"/>
  <c r="E7" i="35"/>
  <c r="H7" i="35" s="1"/>
  <c r="E35" i="35"/>
  <c r="H35" i="35" s="1"/>
  <c r="E32" i="35"/>
  <c r="H32" i="35" s="1"/>
  <c r="E27" i="35"/>
  <c r="H27" i="35" s="1"/>
  <c r="E41" i="35"/>
  <c r="H41" i="35" s="1"/>
  <c r="E50" i="35"/>
  <c r="H50" i="35" s="1"/>
  <c r="E38" i="35"/>
  <c r="H38" i="35" s="1"/>
  <c r="E30" i="35"/>
  <c r="H30" i="35" s="1"/>
  <c r="E46" i="35"/>
  <c r="H46" i="35" s="1"/>
  <c r="E36" i="35"/>
  <c r="H36" i="35" s="1"/>
  <c r="E28" i="35"/>
  <c r="H28" i="35" s="1"/>
  <c r="E43" i="35"/>
  <c r="H43" i="35" s="1"/>
  <c r="E26" i="35"/>
  <c r="H26" i="35" s="1"/>
  <c r="E42" i="35"/>
  <c r="H42" i="35" s="1"/>
  <c r="E33" i="35"/>
  <c r="H33" i="35" s="1"/>
  <c r="E40" i="35"/>
  <c r="H40" i="35" s="1"/>
  <c r="E37" i="35"/>
  <c r="H37" i="35" s="1"/>
  <c r="E29" i="35"/>
  <c r="H29" i="35" s="1"/>
  <c r="E31" i="35"/>
  <c r="H31" i="35" s="1"/>
  <c r="E34" i="35"/>
  <c r="H34" i="35" s="1"/>
  <c r="E48" i="35"/>
  <c r="H48" i="35" s="1"/>
  <c r="E45" i="35"/>
  <c r="H45" i="35" s="1"/>
  <c r="E47" i="35"/>
  <c r="H47" i="35" s="1"/>
  <c r="E51" i="35"/>
  <c r="H51" i="35" s="1"/>
  <c r="E49" i="35"/>
  <c r="H49" i="35" s="1"/>
  <c r="E39" i="35"/>
  <c r="H39" i="35" s="1"/>
  <c r="E25" i="35"/>
  <c r="H25" i="35" s="1"/>
  <c r="E8" i="35"/>
  <c r="H8" i="35" s="1"/>
  <c r="E17" i="35"/>
  <c r="H17" i="35" s="1"/>
  <c r="E9" i="35"/>
  <c r="H9" i="35" s="1"/>
  <c r="E15" i="35"/>
  <c r="H15" i="35" s="1"/>
  <c r="E19" i="35"/>
  <c r="H19" i="35" s="1"/>
  <c r="E21" i="35"/>
  <c r="H21" i="35" s="1"/>
  <c r="E20" i="35"/>
  <c r="H20" i="35" s="1"/>
  <c r="E14" i="35"/>
  <c r="H14" i="35" s="1"/>
  <c r="E23" i="35"/>
  <c r="E13" i="35"/>
  <c r="H13" i="35" s="1"/>
  <c r="E10" i="35"/>
  <c r="H10" i="35" s="1"/>
  <c r="E24" i="35"/>
  <c r="H24" i="35" s="1"/>
  <c r="E52" i="35"/>
  <c r="H52" i="35" s="1"/>
  <c r="E12" i="35"/>
  <c r="H12" i="35" s="1"/>
  <c r="E22" i="35"/>
  <c r="H22" i="35" s="1"/>
  <c r="E18" i="35"/>
  <c r="H18" i="35" s="1"/>
  <c r="E16" i="35"/>
  <c r="H16" i="35" s="1"/>
  <c r="H23" i="35" l="1"/>
  <c r="H53" i="35" s="1"/>
  <c r="H55" i="3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<sst xmlns="http://schemas.openxmlformats.org/spreadsheetml/2006/main" count="361" uniqueCount="248">
  <si>
    <t>수입 및 지출 결의서</t>
    <phoneticPr fontId="2" type="noConversion"/>
  </si>
  <si>
    <t>일  자</t>
    <phoneticPr fontId="2" type="noConversion"/>
  </si>
  <si>
    <t>적   요</t>
    <phoneticPr fontId="2" type="noConversion"/>
  </si>
  <si>
    <t>수입금액</t>
    <phoneticPr fontId="2" type="noConversion"/>
  </si>
  <si>
    <t>지출금액</t>
    <phoneticPr fontId="2" type="noConversion"/>
  </si>
  <si>
    <t>비   고</t>
    <phoneticPr fontId="2" type="noConversion"/>
  </si>
  <si>
    <t>항목</t>
    <phoneticPr fontId="2" type="noConversion"/>
  </si>
  <si>
    <t>관</t>
    <phoneticPr fontId="2" type="noConversion"/>
  </si>
  <si>
    <t>전년도이월금</t>
    <phoneticPr fontId="2" type="noConversion"/>
  </si>
  <si>
    <t>수입/지출</t>
    <phoneticPr fontId="2" type="noConversion"/>
  </si>
  <si>
    <t>수입누적구분</t>
    <phoneticPr fontId="2" type="noConversion"/>
  </si>
  <si>
    <t>월</t>
    <phoneticPr fontId="2" type="noConversion"/>
  </si>
  <si>
    <t>전년도 이월금</t>
  </si>
  <si>
    <t>수입</t>
    <phoneticPr fontId="2" type="noConversion"/>
  </si>
  <si>
    <t>지출</t>
    <phoneticPr fontId="2" type="noConversion"/>
  </si>
  <si>
    <t>일 자</t>
    <phoneticPr fontId="2" type="noConversion"/>
  </si>
  <si>
    <t>증빙유무</t>
    <phoneticPr fontId="2" type="noConversion"/>
  </si>
  <si>
    <t>과 목</t>
    <phoneticPr fontId="2" type="noConversion"/>
  </si>
  <si>
    <t>항</t>
    <phoneticPr fontId="2" type="noConversion"/>
  </si>
  <si>
    <t>목</t>
    <phoneticPr fontId="2" type="noConversion"/>
  </si>
  <si>
    <t>금 액</t>
    <phoneticPr fontId="2" type="noConversion"/>
  </si>
  <si>
    <t>金</t>
    <phoneticPr fontId="2" type="noConversion"/>
  </si>
  <si>
    <t>계</t>
    <phoneticPr fontId="2" type="noConversion"/>
  </si>
  <si>
    <t>수 입</t>
    <phoneticPr fontId="2" type="noConversion"/>
  </si>
  <si>
    <t>자 체 헌 금</t>
    <phoneticPr fontId="2" type="noConversion"/>
  </si>
  <si>
    <t>기  타</t>
    <phoneticPr fontId="2" type="noConversion"/>
  </si>
  <si>
    <t>금일</t>
    <phoneticPr fontId="2" type="noConversion"/>
  </si>
  <si>
    <t>누계</t>
    <phoneticPr fontId="2" type="noConversion"/>
  </si>
  <si>
    <t>지 출</t>
    <phoneticPr fontId="2" type="noConversion"/>
  </si>
  <si>
    <t>수입누계</t>
    <phoneticPr fontId="2" type="noConversion"/>
  </si>
  <si>
    <t>청구 및 영수자</t>
    <phoneticPr fontId="2" type="noConversion"/>
  </si>
  <si>
    <t>잔고</t>
    <phoneticPr fontId="2" type="noConversion"/>
  </si>
  <si>
    <t xml:space="preserve">(인)  </t>
    <phoneticPr fontId="2" type="noConversion"/>
  </si>
  <si>
    <t>결 재</t>
    <phoneticPr fontId="2" type="noConversion"/>
  </si>
  <si>
    <t xml:space="preserve">  ※ 증빙없는 지출은 영수자 서명 및 내용을 상세히 기록할 것</t>
    <phoneticPr fontId="2" type="noConversion"/>
  </si>
  <si>
    <t>잔  액</t>
    <phoneticPr fontId="2" type="noConversion"/>
  </si>
  <si>
    <t>월계</t>
    <phoneticPr fontId="2" type="noConversion"/>
  </si>
  <si>
    <t>잔액</t>
    <phoneticPr fontId="2" type="noConversion"/>
  </si>
  <si>
    <t>수입(Income)</t>
    <phoneticPr fontId="2" type="noConversion"/>
  </si>
  <si>
    <t>지출(Expenses)</t>
    <phoneticPr fontId="2" type="noConversion"/>
  </si>
  <si>
    <t>교회보조금 (교회지원금,재배정금)</t>
    <phoneticPr fontId="2" type="noConversion"/>
  </si>
  <si>
    <t>구분</t>
    <phoneticPr fontId="2" type="noConversion"/>
  </si>
  <si>
    <t>세      입</t>
    <phoneticPr fontId="10" type="noConversion"/>
  </si>
  <si>
    <t>세      출</t>
    <phoneticPr fontId="10" type="noConversion"/>
  </si>
  <si>
    <t>비  고</t>
    <phoneticPr fontId="10" type="noConversion"/>
  </si>
  <si>
    <t>전년도이월금</t>
    <phoneticPr fontId="10" type="noConversion"/>
  </si>
  <si>
    <t>회기총수입</t>
    <phoneticPr fontId="2" type="noConversion"/>
  </si>
  <si>
    <t>합 계</t>
    <phoneticPr fontId="10" type="noConversion"/>
  </si>
  <si>
    <t>지출항목</t>
    <phoneticPr fontId="2" type="noConversion"/>
  </si>
  <si>
    <t>지 출 계</t>
    <phoneticPr fontId="2" type="noConversion"/>
  </si>
  <si>
    <t>교회지원금</t>
    <phoneticPr fontId="10" type="noConversion"/>
  </si>
  <si>
    <t>재배정금</t>
    <phoneticPr fontId="2" type="noConversion"/>
  </si>
  <si>
    <t>자체헌금/회비</t>
    <phoneticPr fontId="2" type="noConversion"/>
  </si>
  <si>
    <t>찬조/이자/기타</t>
    <phoneticPr fontId="10" type="noConversion"/>
  </si>
  <si>
    <t>이월금</t>
    <phoneticPr fontId="2" type="noConversion"/>
  </si>
  <si>
    <t>1월</t>
    <phoneticPr fontId="2" type="noConversion"/>
  </si>
  <si>
    <t>6월</t>
  </si>
  <si>
    <t>상반기 계</t>
    <phoneticPr fontId="10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</si>
  <si>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</si>
  <si>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</si>
  <si>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</si>
  <si>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</si>
  <si>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</si>
  <si>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</si>
  <si>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</si>
  <si>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상반기
검산총액</t>
    <phoneticPr fontId="2" type="noConversion"/>
  </si>
  <si>
    <t>상반기 검산총액</t>
    <phoneticPr fontId="2" type="noConversion"/>
  </si>
  <si>
    <t>하반기 계</t>
    <phoneticPr fontId="10" type="noConversion"/>
  </si>
  <si>
    <t>하반기 계</t>
    <phoneticPr fontId="2" type="noConversion"/>
  </si>
  <si>
    <t>합    계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</si>
  <si>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</si>
  <si>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</si>
  <si>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</si>
  <si>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</si>
  <si>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</si>
  <si>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</si>
  <si>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0" type="noConversion"/>
  </si>
  <si>
    <t>(단위 : 원)</t>
    <phoneticPr fontId="2" type="noConversion"/>
  </si>
  <si>
    <t>위와 같이 검산자료를 제출합니다.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</si>
  <si>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</si>
  <si>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</si>
  <si>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</si>
  <si>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</si>
  <si>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</si>
  <si>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</si>
  <si>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대상기간</t>
    <phoneticPr fontId="2" type="noConversion"/>
  </si>
  <si>
    <t>입력하세요</t>
    <phoneticPr fontId="2" type="noConversion"/>
  </si>
  <si>
    <t>시작일자</t>
    <phoneticPr fontId="2" type="noConversion"/>
  </si>
  <si>
    <t>종료일자</t>
    <phoneticPr fontId="2" type="noConversion"/>
  </si>
  <si>
    <t>금액(원)</t>
    <phoneticPr fontId="2" type="noConversion"/>
  </si>
  <si>
    <t>금액(원)</t>
  </si>
  <si>
    <t>대상기간 수입 합계</t>
    <phoneticPr fontId="2" type="noConversion"/>
  </si>
  <si>
    <t>대상기간 지출 합계</t>
    <phoneticPr fontId="2" type="noConversion"/>
  </si>
  <si>
    <t>대상기간 이전 수입 누적</t>
    <phoneticPr fontId="2" type="noConversion"/>
  </si>
  <si>
    <t>대상기간 이전 지출 누적</t>
    <phoneticPr fontId="2" type="noConversion"/>
  </si>
  <si>
    <t>수입항목</t>
    <phoneticPr fontId="2" type="noConversion"/>
  </si>
  <si>
    <t>일합계</t>
    <phoneticPr fontId="2" type="noConversion"/>
  </si>
  <si>
    <t>지출내역 합계</t>
    <phoneticPr fontId="2" type="noConversion"/>
  </si>
  <si>
    <t>수입내역 합계</t>
    <phoneticPr fontId="2" type="noConversion"/>
  </si>
  <si>
    <t>회계코드위치</t>
    <phoneticPr fontId="2" type="noConversion"/>
  </si>
  <si>
    <t>헌금/회비</t>
  </si>
  <si>
    <t>전년도이월금</t>
  </si>
  <si>
    <t>변경일자</t>
    <phoneticPr fontId="2" type="noConversion"/>
  </si>
  <si>
    <t>변경내용</t>
    <phoneticPr fontId="2" type="noConversion"/>
  </si>
  <si>
    <t>변경자</t>
    <phoneticPr fontId="2" type="noConversion"/>
  </si>
  <si>
    <t>도성현</t>
    <phoneticPr fontId="2" type="noConversion"/>
  </si>
  <si>
    <t>비고</t>
    <phoneticPr fontId="2" type="noConversion"/>
  </si>
  <si>
    <t>교회보조금</t>
  </si>
  <si>
    <t>재배정금</t>
  </si>
  <si>
    <t>기타수입</t>
  </si>
  <si>
    <t>교회지원금</t>
  </si>
  <si>
    <t>예금이자</t>
  </si>
  <si>
    <t>찬조</t>
  </si>
  <si>
    <t>잡수입</t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</si>
  <si>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</si>
  <si>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</si>
  <si>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</si>
  <si>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</si>
  <si>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임원식사</t>
    <phoneticPr fontId="2" type="noConversion"/>
  </si>
  <si>
    <t>여름수련회</t>
    <phoneticPr fontId="2" type="noConversion"/>
  </si>
  <si>
    <t>시상/선물</t>
    <phoneticPr fontId="2" type="noConversion"/>
  </si>
  <si>
    <t>병문안</t>
    <phoneticPr fontId="2" type="noConversion"/>
  </si>
  <si>
    <t>경조사비</t>
    <phoneticPr fontId="2" type="noConversion"/>
  </si>
  <si>
    <t>특강비</t>
    <phoneticPr fontId="2" type="noConversion"/>
  </si>
  <si>
    <t>도서구입비</t>
    <phoneticPr fontId="2" type="noConversion"/>
  </si>
  <si>
    <t>요람제작비</t>
    <phoneticPr fontId="2" type="noConversion"/>
  </si>
  <si>
    <t>현수막제작비</t>
    <phoneticPr fontId="2" type="noConversion"/>
  </si>
  <si>
    <t>잡화구입비</t>
    <phoneticPr fontId="2" type="noConversion"/>
  </si>
  <si>
    <t>비품구입비</t>
    <phoneticPr fontId="2" type="noConversion"/>
  </si>
  <si>
    <t xml:space="preserve"> </t>
    <phoneticPr fontId="2" type="noConversion"/>
  </si>
  <si>
    <t>간식/식대비</t>
    <phoneticPr fontId="2" type="noConversion"/>
  </si>
  <si>
    <t>심방비</t>
    <phoneticPr fontId="2" type="noConversion"/>
  </si>
  <si>
    <t>특강/도서구입비</t>
    <phoneticPr fontId="2" type="noConversion"/>
  </si>
  <si>
    <t>요람/현수막제작비</t>
    <phoneticPr fontId="2" type="noConversion"/>
  </si>
  <si>
    <t>수련회</t>
    <phoneticPr fontId="2" type="noConversion"/>
  </si>
  <si>
    <t>기타지출</t>
    <phoneticPr fontId="2" type="noConversion"/>
  </si>
  <si>
    <t>새가족선물</t>
    <phoneticPr fontId="2" type="noConversion"/>
  </si>
  <si>
    <t>생일자선물</t>
    <phoneticPr fontId="2" type="noConversion"/>
  </si>
  <si>
    <t>겨울수련회</t>
    <phoneticPr fontId="2" type="noConversion"/>
  </si>
  <si>
    <t>기도회간식</t>
    <phoneticPr fontId="2" type="noConversion"/>
  </si>
  <si>
    <t>교역자선물</t>
    <phoneticPr fontId="2" type="noConversion"/>
  </si>
  <si>
    <t>기타시상</t>
    <phoneticPr fontId="2" type="noConversion"/>
  </si>
  <si>
    <t>회계장부 Sheet 수입누적 함수 오류 수정</t>
    <phoneticPr fontId="2" type="noConversion"/>
  </si>
  <si>
    <t>수입 항목 중에서 월정헌금, 주일헌금 중 선택할 수 있도록 수정</t>
    <phoneticPr fontId="2" type="noConversion"/>
  </si>
  <si>
    <t>전년도 이월금의 년도가 지난 년도가 되는 문제 수정</t>
    <phoneticPr fontId="2" type="noConversion"/>
  </si>
  <si>
    <t>Sheet</t>
    <phoneticPr fontId="2" type="noConversion"/>
  </si>
  <si>
    <t>회계코드</t>
    <phoneticPr fontId="2" type="noConversion"/>
  </si>
  <si>
    <t>회계보고서</t>
    <phoneticPr fontId="2" type="noConversion"/>
  </si>
  <si>
    <t>결의서(기본)</t>
    <phoneticPr fontId="2" type="noConversion"/>
  </si>
  <si>
    <t>결의서(추가)</t>
    <phoneticPr fontId="2" type="noConversion"/>
  </si>
  <si>
    <t>회계장부</t>
    <phoneticPr fontId="2" type="noConversion"/>
  </si>
  <si>
    <t>검사서(상반기)</t>
    <phoneticPr fontId="2" type="noConversion"/>
  </si>
  <si>
    <t>지출 - 관 최대 입력 가능 수 변경 :  12개 ⇒ 15개</t>
    <phoneticPr fontId="2" type="noConversion"/>
  </si>
  <si>
    <t>지출 - 지출항목 관별 최대 입력 가능 수 변경 : 6개 ⇒ 20개</t>
    <phoneticPr fontId="2" type="noConversion"/>
  </si>
  <si>
    <t>지출 - 지출항목 총 입력 가능 수 변경 :  28개 ⇒ 37개</t>
    <phoneticPr fontId="2" type="noConversion"/>
  </si>
  <si>
    <t>지출항목 최대 37개까지 출력 가능</t>
    <phoneticPr fontId="2" type="noConversion"/>
  </si>
  <si>
    <t>당일자 지출항목 최대 개수 변경 : 17개 ⇒ 33개</t>
    <phoneticPr fontId="2" type="noConversion"/>
  </si>
  <si>
    <t>당일자 수입항목 최대 개수 변경 : 11개 ⇒ 21개</t>
    <phoneticPr fontId="2" type="noConversion"/>
  </si>
  <si>
    <t>당일자 지출항목 17개 또는 수입항목 11개 초과 시 사용</t>
    <phoneticPr fontId="2" type="noConversion"/>
  </si>
  <si>
    <t>헌금 수입이 기타 수입으로 표시되는 오류 수정</t>
    <phoneticPr fontId="2" type="noConversion"/>
  </si>
  <si>
    <t>전년도 이월금의 년도가 당해년도가 되도록 함수 삽입</t>
    <phoneticPr fontId="2" type="noConversion"/>
  </si>
  <si>
    <t>결재란 직위를 직접 입력할 수 있도록 허용. 예) 부장, 회장, 위원장 등</t>
    <phoneticPr fontId="2" type="noConversion"/>
  </si>
  <si>
    <t>부서별 장(長)을 직접 입력할 수 있도록 허용. 예) 부장, 회장, 위원장 등</t>
    <phoneticPr fontId="2" type="noConversion"/>
  </si>
  <si>
    <t>교회명 입력 추가</t>
    <phoneticPr fontId="2" type="noConversion"/>
  </si>
  <si>
    <t>타 교회에서도 사용할 수 있도록 교회명 입력 추가</t>
    <phoneticPr fontId="2" type="noConversion"/>
  </si>
  <si>
    <t>결재란</t>
    <phoneticPr fontId="2" type="noConversion"/>
  </si>
  <si>
    <t>결재란 직위를 회계코드에서 설정값으로 변경</t>
    <phoneticPr fontId="2" type="noConversion"/>
  </si>
  <si>
    <t>12/19 제거</t>
    <phoneticPr fontId="2" type="noConversion"/>
  </si>
  <si>
    <t>1월 생일자 선물</t>
    <phoneticPr fontId="2" type="noConversion"/>
  </si>
  <si>
    <t>월례회간식</t>
    <phoneticPr fontId="2" type="noConversion"/>
  </si>
  <si>
    <t>회계</t>
    <phoneticPr fontId="2" type="noConversion"/>
  </si>
  <si>
    <t>IF(LEN(A6)&gt;0,A62+1,0)</t>
  </si>
  <si>
    <t>IF(SUM(A63:A82)&gt;0,MIN(A63:A82))</t>
  </si>
  <si>
    <t>IF(SUM(A63:A82)&gt;0,A5)</t>
  </si>
  <si>
    <t>IF(LEN(A6)&gt;0,A6,"")</t>
  </si>
  <si>
    <t>IF(LEN(A7)&gt;0,MAX(A$63:$A63)+1,"")</t>
  </si>
  <si>
    <t>IF(LEN(A7)&gt;0,A7,"")</t>
  </si>
  <si>
    <t>IF(LEN(A8)&gt;0,MAX(A$63:$A64)+1,"")</t>
  </si>
  <si>
    <t>IF(LEN(A8)&gt;0,A8,"")</t>
  </si>
  <si>
    <t>IF(LEN(A9)&gt;0,MAX(A$63:$A65)+1,"")</t>
  </si>
  <si>
    <t>IF(LEN(A9)&gt;0,A9,"")</t>
  </si>
  <si>
    <t>IF(LEN(A10)&gt;0,MAX(A$63:$A66)+1,"")</t>
  </si>
  <si>
    <t>IF(LEN(A10)&gt;0,A10,"")</t>
  </si>
  <si>
    <t>IF(LEN(A11)&gt;0,MAX(A$63:$A67)+1,"")</t>
  </si>
  <si>
    <t>IF(LEN(A11)&gt;0,A11,"")</t>
  </si>
  <si>
    <t>IF(LEN(A12)&gt;0,MAX(A$63:$A68)+1,"")</t>
  </si>
  <si>
    <t>IF(LEN(A12)&gt;0,A12,"")</t>
  </si>
  <si>
    <t>IF(LEN(A13)&gt;0,MAX(A$63:$A69)+1,"")</t>
  </si>
  <si>
    <t>IF(LEN(A13)&gt;0,A13,"")</t>
  </si>
  <si>
    <t>IF(LEN(A14)&gt;0,MAX(A$63:$A70)+1,"")</t>
  </si>
  <si>
    <t>IF(LEN(A14)&gt;0,A14,"")</t>
  </si>
  <si>
    <t>IF(LEN(A15)&gt;0,MAX(A$63:$A71)+1,"")</t>
  </si>
  <si>
    <t>IF(LEN(A15)&gt;0,A15,"")</t>
  </si>
  <si>
    <t>IF(LEN(A16)&gt;0,MAX(A$63:$A72)+1,"")</t>
  </si>
  <si>
    <t>IF(LEN(A16)&gt;0,A16,"")</t>
  </si>
  <si>
    <t>IF(LEN(A17)&gt;0,MAX(A$63:$A73)+1,"")</t>
  </si>
  <si>
    <t>IF(LEN(A17)&gt;0,A17,"")</t>
  </si>
  <si>
    <t>IF(LEN(A18)&gt;0,MAX(A$63:$A74)+1,"")</t>
  </si>
  <si>
    <t>IF(LEN(A18)&gt;0,A18,"")</t>
  </si>
  <si>
    <t>IF(LEN(A19)&gt;0,MAX(A$63:$A75)+1,"")</t>
  </si>
  <si>
    <t>IF(LEN(A19)&gt;0,A19,"")</t>
  </si>
  <si>
    <t>IF(LEN(A20)&gt;0,MAX(A$63:$A76)+1,"")</t>
  </si>
  <si>
    <t>IF(LEN(A20)&gt;0,A20,"")</t>
  </si>
  <si>
    <t>IF(LEN(A21)&gt;0,MAX(A$63:$A77)+1,"")</t>
  </si>
  <si>
    <t>IF(LEN(A21)&gt;0,A21,"")</t>
  </si>
  <si>
    <t>IF(LEN(A22)&gt;0,MAX(A$63:$A78)+1,"")</t>
  </si>
  <si>
    <t>IF(LEN(A22)&gt;0,A22,"")</t>
  </si>
  <si>
    <t>IF(LEN(A23)&gt;0,MAX(A$63:$A79)+1,"")</t>
  </si>
  <si>
    <t>IF(LEN(A23)&gt;0,A23,"")</t>
  </si>
  <si>
    <t>IF(LEN(A24)&gt;0,MAX(A$63:$A80)+1,"")</t>
  </si>
  <si>
    <t>IF(LEN(A24)&gt;0,A24,"")</t>
  </si>
  <si>
    <t>IF(LEN(A25)&gt;0,MAX(A$63:$A81)+1,"")</t>
  </si>
  <si>
    <t>IF(LEN(A25)&gt;0,A25,"")</t>
  </si>
  <si>
    <t>교회명</t>
    <phoneticPr fontId="2" type="noConversion"/>
  </si>
  <si>
    <t>부서명</t>
    <phoneticPr fontId="2" type="noConversion"/>
  </si>
  <si>
    <t>회계년도</t>
    <phoneticPr fontId="2" type="noConversion"/>
  </si>
  <si>
    <t>대구동부교회</t>
    <phoneticPr fontId="2" type="noConversion"/>
  </si>
  <si>
    <t>총무</t>
    <phoneticPr fontId="2" type="noConversion"/>
  </si>
  <si>
    <t>부장</t>
    <phoneticPr fontId="2" type="noConversion"/>
  </si>
  <si>
    <t>전체</t>
    <phoneticPr fontId="2" type="noConversion"/>
  </si>
  <si>
    <t>수입항목 중 일부 항목만 제외하고 수정/추가/삭제할 수 있도록 변경</t>
    <phoneticPr fontId="2" type="noConversion"/>
  </si>
  <si>
    <r>
      <t xml:space="preserve">적 요
</t>
    </r>
    <r>
      <rPr>
        <sz val="8"/>
        <color theme="1"/>
        <rFont val="맑은 고딕"/>
        <family val="3"/>
        <charset val="129"/>
      </rPr>
      <t>(지출내역)</t>
    </r>
    <phoneticPr fontId="2" type="noConversion"/>
  </si>
  <si>
    <r>
      <t xml:space="preserve">비 고
</t>
    </r>
    <r>
      <rPr>
        <sz val="8"/>
        <color theme="1"/>
        <rFont val="맑은 고딕"/>
        <family val="3"/>
        <charset val="129"/>
      </rPr>
      <t>(수입내역)</t>
    </r>
    <phoneticPr fontId="2" type="noConversion"/>
  </si>
  <si>
    <r>
      <t xml:space="preserve">적 요
</t>
    </r>
    <r>
      <rPr>
        <sz val="8"/>
        <color theme="1"/>
        <rFont val="맑은 고딕"/>
        <family val="3"/>
        <charset val="129"/>
        <scheme val="minor"/>
      </rPr>
      <t>(지출내역)</t>
    </r>
    <phoneticPr fontId="2" type="noConversion"/>
  </si>
  <si>
    <r>
      <t xml:space="preserve">비 고
</t>
    </r>
    <r>
      <rPr>
        <sz val="8"/>
        <color theme="1"/>
        <rFont val="맑은 고딕"/>
        <family val="3"/>
        <charset val="129"/>
        <scheme val="minor"/>
      </rPr>
      <t>(수입내역)</t>
    </r>
    <phoneticPr fontId="2" type="noConversion"/>
  </si>
  <si>
    <t>주일헌금</t>
    <phoneticPr fontId="2" type="noConversion"/>
  </si>
  <si>
    <t>십일조헌금</t>
    <phoneticPr fontId="2" type="noConversion"/>
  </si>
  <si>
    <t>감사헌금</t>
    <phoneticPr fontId="2" type="noConversion"/>
  </si>
  <si>
    <t>선교헌금</t>
    <phoneticPr fontId="2" type="noConversion"/>
  </si>
  <si>
    <t>해외선교헌금</t>
    <phoneticPr fontId="2" type="noConversion"/>
  </si>
  <si>
    <t>기관선교헌금</t>
    <phoneticPr fontId="2" type="noConversion"/>
  </si>
  <si>
    <t>특별헌금</t>
    <phoneticPr fontId="2" type="noConversion"/>
  </si>
  <si>
    <t>건축헌금</t>
    <phoneticPr fontId="2" type="noConversion"/>
  </si>
  <si>
    <t>장학헌금</t>
    <phoneticPr fontId="2" type="noConversion"/>
  </si>
  <si>
    <t>구역헌금</t>
    <phoneticPr fontId="2" type="noConversion"/>
  </si>
  <si>
    <t>재정부</t>
    <phoneticPr fontId="2" type="noConversion"/>
  </si>
  <si>
    <t>전도회비</t>
    <phoneticPr fontId="2" type="noConversion"/>
  </si>
  <si>
    <t>헌금</t>
    <phoneticPr fontId="2" type="noConversion"/>
  </si>
  <si>
    <t>회비</t>
    <phoneticPr fontId="2" type="noConversion"/>
  </si>
  <si>
    <t>절기헌금</t>
    <phoneticPr fontId="2" type="noConversion"/>
  </si>
  <si>
    <t>헌금내역 등</t>
    <phoneticPr fontId="2" type="noConversion"/>
  </si>
  <si>
    <t>헌금 보고서 및 헌금내역, 회비내역 관리를 위한 Sheet 추가</t>
    <phoneticPr fontId="2" type="noConversion"/>
  </si>
  <si>
    <t>찬양대회비</t>
    <phoneticPr fontId="2" type="noConversion"/>
  </si>
  <si>
    <t>생일간식</t>
    <phoneticPr fontId="2" type="noConversion"/>
  </si>
  <si>
    <t>감사해요</t>
  </si>
  <si>
    <t>감사해요</t>
    <phoneticPr fontId="2" type="noConversion"/>
  </si>
  <si>
    <t>간식/식대비</t>
  </si>
  <si>
    <t>kst128@naver.com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</si>
</sst>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_);[Red]\(&quot;₩&quot;#,##0\)"/>
    <numFmt numFmtId="178" formatCode="#,##0_ ;[Red]\-#,##0\ "/>
    <numFmt numFmtId="179" formatCode="&quot;₩&quot;#,##0"/>
    <numFmt numFmtId="180" formatCode="m&quot;/&quot;d;@"/>
    <numFmt numFmtId="181" formatCode="m&quot;월&quot;\ d&quot;일&quot;"/>
    <numFmt numFmtId="182" formatCode="mm&quot;월&quot;\ dd&quot;일&quot;"/>
  </numFmts>
  <fonts count="6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4"/>
      <color theme="1" tint="0.14999847407452621"/>
      <name val="맑은 고딕"/>
      <family val="3"/>
      <charset val="129"/>
      <scheme val="minor"/>
    </font>
    <font>
      <b/>
      <sz val="11"/>
      <color theme="1" tint="0.14999847407452621"/>
      <name val="맑은 고딕"/>
      <family val="3"/>
      <charset val="129"/>
      <scheme val="minor"/>
    </font>
    <font>
      <sz val="11"/>
      <color theme="1" tint="0.1499984740745262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b/>
      <sz val="11"/>
      <color theme="6" tint="0.3999755851924192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6"/>
      <color rgb="FFFFFF00"/>
      <name val="맑은 고딕"/>
      <family val="3"/>
      <charset val="129"/>
      <scheme val="minor"/>
    </font>
    <font>
      <b/>
      <sz val="16"/>
      <color rgb="FFFFFF00"/>
      <name val="맑은 고딕"/>
      <family val="3"/>
      <charset val="129"/>
      <scheme val="minor"/>
    </font>
    <font>
      <b/>
      <sz val="18"/>
      <color rgb="FFFFFF00"/>
      <name val="맑은 고딕"/>
      <family val="3"/>
      <charset val="129"/>
      <scheme val="minor"/>
    </font>
    <font>
      <b/>
      <sz val="14"/>
      <color rgb="FFFFFF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0" tint="-0.34998626667073579"/>
      <name val="맑은 고딕"/>
      <family val="3"/>
      <charset val="129"/>
    </font>
    <font>
      <b/>
      <u/>
      <sz val="22"/>
      <color theme="1"/>
      <name val="맑은 고딕"/>
      <family val="3"/>
      <charset val="129"/>
    </font>
    <font>
      <b/>
      <sz val="22"/>
      <color theme="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b/>
      <u/>
      <sz val="2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</fills>
  <borders count="2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FF0000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FF0000"/>
      </left>
      <right/>
      <top style="thin">
        <color theme="3" tint="0.39994506668294322"/>
      </top>
      <bottom/>
      <diagonal/>
    </border>
    <border>
      <left style="thin">
        <color auto="1"/>
      </left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medium">
        <color rgb="FF0000FF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/>
      <diagonal/>
    </border>
    <border>
      <left style="medium">
        <color rgb="FF0000FF"/>
      </left>
      <right/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/>
      <top/>
      <bottom style="thin">
        <color auto="1"/>
      </bottom>
      <diagonal/>
    </border>
    <border>
      <left style="medium">
        <color rgb="FF0000FF"/>
      </left>
      <right/>
      <top style="thin">
        <color auto="1"/>
      </top>
      <bottom style="thin">
        <color auto="1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double">
        <color rgb="FFFF0000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 style="dashed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indexed="64"/>
      </left>
      <right style="medium">
        <color theme="0" tint="-0.499984740745262"/>
      </right>
      <top style="thick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indexed="64"/>
      </right>
      <top style="thick">
        <color indexed="64"/>
      </top>
      <bottom style="medium">
        <color theme="0" tint="-0.499984740745262"/>
      </bottom>
      <diagonal/>
    </border>
    <border>
      <left style="thick">
        <color indexed="64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 style="medium">
        <color theme="0" tint="-0.499984740745262"/>
      </right>
      <top style="medium">
        <color theme="0" tint="-0.499984740745262"/>
      </top>
      <bottom style="thick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ck">
        <color indexed="64"/>
      </bottom>
      <diagonal/>
    </border>
    <border>
      <left style="medium">
        <color theme="0" tint="-0.499984740745262"/>
      </left>
      <right style="thick">
        <color indexed="64"/>
      </right>
      <top style="medium">
        <color theme="0" tint="-0.499984740745262"/>
      </top>
      <bottom style="thick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42" fontId="3" fillId="0" borderId="0" applyNumberFormat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vertical="center"/>
    </xf>
    <xf numFmtId="0" fontId="6" fillId="0" borderId="41">
      <alignment horizontal="center" vertical="center"/>
    </xf>
    <xf numFmtId="0" fontId="6" fillId="0" borderId="42">
      <alignment horizontal="center" vertical="center"/>
    </xf>
    <xf numFmtId="0" fontId="6" fillId="0" borderId="43">
      <alignment horizontal="center" vertical="center"/>
    </xf>
    <xf numFmtId="0" fontId="6" fillId="0" borderId="44">
      <alignment vertical="center"/>
    </xf>
    <xf numFmtId="0" fontId="6" fillId="0" borderId="43">
      <alignment vertical="center"/>
    </xf>
    <xf numFmtId="0" fontId="5" fillId="0" borderId="0">
      <alignment horizontal="left" vertical="center"/>
    </xf>
    <xf numFmtId="0" fontId="6" fillId="0" borderId="0">
      <alignment horizontal="left" vertical="center"/>
    </xf>
    <xf numFmtId="0" fontId="7" fillId="0" borderId="0">
      <alignment horizontal="center" vertical="center"/>
    </xf>
    <xf numFmtId="0" fontId="6" fillId="0" borderId="45">
      <alignment horizontal="center" vertical="center"/>
    </xf>
    <xf numFmtId="0" fontId="6" fillId="0" borderId="46">
      <alignment horizontal="center" vertical="center"/>
    </xf>
    <xf numFmtId="0" fontId="6" fillId="0" borderId="47">
      <alignment horizontal="center" vertical="center"/>
    </xf>
    <xf numFmtId="0" fontId="6" fillId="0" borderId="48">
      <alignment horizontal="center" vertical="center"/>
    </xf>
    <xf numFmtId="176" fontId="6" fillId="0" borderId="45">
      <alignment horizontal="center" vertical="center"/>
    </xf>
    <xf numFmtId="176" fontId="6" fillId="0" borderId="46">
      <alignment horizontal="center" vertical="center"/>
    </xf>
    <xf numFmtId="176" fontId="6" fillId="0" borderId="48">
      <alignment horizontal="center" vertical="center"/>
    </xf>
    <xf numFmtId="179" fontId="4" fillId="0" borderId="49">
      <alignment horizontal="center" vertical="center"/>
    </xf>
    <xf numFmtId="0" fontId="6" fillId="0" borderId="44">
      <alignment horizontal="center" vertical="center"/>
    </xf>
    <xf numFmtId="0" fontId="6" fillId="0" borderId="50">
      <alignment horizontal="center" vertical="center"/>
    </xf>
    <xf numFmtId="0" fontId="6" fillId="0" borderId="43">
      <alignment horizontal="center" vertical="center"/>
    </xf>
    <xf numFmtId="179" fontId="4" fillId="0" borderId="51">
      <alignment horizontal="center" vertical="center"/>
    </xf>
    <xf numFmtId="0" fontId="4" fillId="0" borderId="49">
      <alignment horizontal="center" vertical="center"/>
    </xf>
    <xf numFmtId="0" fontId="6" fillId="0" borderId="52">
      <alignment horizontal="center" vertical="center"/>
    </xf>
    <xf numFmtId="0" fontId="6" fillId="0" borderId="43">
      <alignment horizontal="left" vertical="center"/>
    </xf>
    <xf numFmtId="179" fontId="6" fillId="0" borderId="52">
      <alignment horizontal="center" vertical="center"/>
    </xf>
    <xf numFmtId="41" fontId="1" fillId="0" borderId="0" applyFont="0" applyFill="0" applyBorder="0" applyAlignment="0" applyProtection="0">
      <alignment vertical="center"/>
    </xf>
    <xf numFmtId="179" fontId="4" fillId="0" borderId="53">
      <alignment horizontal="center" vertical="center"/>
    </xf>
    <xf numFmtId="0" fontId="4" fillId="0" borderId="54">
      <alignment horizontal="center" vertical="center"/>
    </xf>
    <xf numFmtId="179" fontId="4" fillId="0" borderId="54">
      <alignment horizontal="center" vertical="center"/>
    </xf>
    <xf numFmtId="0" fontId="6" fillId="0" borderId="55">
      <alignment horizontal="center" vertical="center"/>
    </xf>
    <xf numFmtId="0" fontId="4" fillId="0" borderId="56">
      <alignment horizontal="center" vertical="center"/>
    </xf>
    <xf numFmtId="0" fontId="6" fillId="0" borderId="57">
      <alignment horizontal="center" vertical="center"/>
    </xf>
    <xf numFmtId="0" fontId="4" fillId="0" borderId="58">
      <alignment horizontal="center" vertical="center"/>
    </xf>
    <xf numFmtId="0" fontId="6" fillId="0" borderId="59">
      <alignment horizontal="center" vertical="center"/>
    </xf>
    <xf numFmtId="0" fontId="4" fillId="0" borderId="51">
      <alignment horizontal="center" vertical="center"/>
    </xf>
    <xf numFmtId="179" fontId="4" fillId="0" borderId="60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</cellStyleXfs>
  <cellXfs count="5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42" fontId="0" fillId="0" borderId="0" xfId="43" applyFont="1" applyAlignment="1">
      <alignment horizontal="center" vertical="center"/>
    </xf>
    <xf numFmtId="41" fontId="0" fillId="0" borderId="0" xfId="1" applyFont="1">
      <alignment vertical="center"/>
    </xf>
    <xf numFmtId="0" fontId="11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18" fillId="0" borderId="0" xfId="1" applyNumberFormat="1" applyFont="1" applyFill="1" applyBorder="1" applyAlignment="1" applyProtection="1">
      <alignment horizontal="center" vertical="center"/>
    </xf>
    <xf numFmtId="0" fontId="19" fillId="0" borderId="0" xfId="1" applyNumberFormat="1" applyFont="1" applyFill="1" applyBorder="1" applyAlignment="1" applyProtection="1">
      <alignment vertical="center"/>
    </xf>
    <xf numFmtId="0" fontId="20" fillId="0" borderId="0" xfId="1" applyNumberFormat="1" applyFont="1" applyFill="1" applyBorder="1" applyAlignment="1" applyProtection="1">
      <alignment horizontal="right"/>
    </xf>
    <xf numFmtId="0" fontId="19" fillId="0" borderId="3" xfId="1" applyNumberFormat="1" applyFont="1" applyFill="1" applyBorder="1" applyAlignment="1" applyProtection="1">
      <alignment horizontal="center" vertical="center"/>
    </xf>
    <xf numFmtId="0" fontId="19" fillId="0" borderId="76" xfId="1" applyNumberFormat="1" applyFont="1" applyFill="1" applyBorder="1" applyAlignment="1" applyProtection="1">
      <alignment horizontal="center" vertical="center"/>
    </xf>
    <xf numFmtId="41" fontId="19" fillId="0" borderId="85" xfId="1" applyFont="1" applyFill="1" applyBorder="1" applyAlignment="1" applyProtection="1">
      <alignment horizontal="center" vertical="center"/>
    </xf>
    <xf numFmtId="0" fontId="19" fillId="9" borderId="88" xfId="1" applyNumberFormat="1" applyFont="1" applyFill="1" applyBorder="1" applyAlignment="1" applyProtection="1">
      <alignment horizontal="center" vertical="center"/>
    </xf>
    <xf numFmtId="0" fontId="19" fillId="9" borderId="65" xfId="1" applyNumberFormat="1" applyFont="1" applyFill="1" applyBorder="1" applyAlignment="1" applyProtection="1">
      <alignment horizontal="center" vertical="center"/>
    </xf>
    <xf numFmtId="41" fontId="19" fillId="0" borderId="0" xfId="1" applyFont="1" applyFill="1" applyBorder="1" applyAlignment="1" applyProtection="1">
      <alignment vertical="center"/>
    </xf>
    <xf numFmtId="0" fontId="19" fillId="0" borderId="73" xfId="1" applyNumberFormat="1" applyFont="1" applyFill="1" applyBorder="1" applyAlignment="1" applyProtection="1">
      <alignment vertical="center"/>
    </xf>
    <xf numFmtId="0" fontId="22" fillId="0" borderId="81" xfId="1" applyNumberFormat="1" applyFont="1" applyFill="1" applyBorder="1" applyAlignment="1" applyProtection="1">
      <alignment horizontal="center" vertical="center" shrinkToFit="1"/>
    </xf>
    <xf numFmtId="41" fontId="21" fillId="0" borderId="81" xfId="1" applyFont="1" applyFill="1" applyBorder="1" applyAlignment="1" applyProtection="1">
      <alignment vertical="center"/>
    </xf>
    <xf numFmtId="41" fontId="23" fillId="0" borderId="0" xfId="1" applyFont="1" applyFill="1" applyBorder="1" applyAlignment="1" applyProtection="1">
      <alignment vertical="center"/>
    </xf>
    <xf numFmtId="0" fontId="24" fillId="0" borderId="0" xfId="1" applyNumberFormat="1" applyFont="1" applyFill="1" applyBorder="1" applyAlignment="1" applyProtection="1">
      <alignment vertical="center"/>
    </xf>
    <xf numFmtId="0" fontId="25" fillId="0" borderId="0" xfId="1" applyNumberFormat="1" applyFont="1" applyFill="1" applyBorder="1" applyAlignment="1" applyProtection="1">
      <alignment vertical="center"/>
    </xf>
    <xf numFmtId="0" fontId="18" fillId="0" borderId="81" xfId="1" applyNumberFormat="1" applyFont="1" applyFill="1" applyBorder="1" applyAlignment="1" applyProtection="1">
      <alignment horizontal="center" vertical="center"/>
    </xf>
    <xf numFmtId="0" fontId="25" fillId="0" borderId="81" xfId="1" applyNumberFormat="1" applyFont="1" applyFill="1" applyBorder="1" applyAlignment="1" applyProtection="1">
      <alignment horizontal="center" vertical="center"/>
    </xf>
    <xf numFmtId="0" fontId="26" fillId="0" borderId="0" xfId="1" applyNumberFormat="1" applyFont="1" applyFill="1" applyBorder="1" applyAlignment="1" applyProtection="1">
      <alignment vertical="center"/>
    </xf>
    <xf numFmtId="41" fontId="8" fillId="0" borderId="0" xfId="1" applyFont="1" applyFill="1" applyBorder="1" applyAlignment="1" applyProtection="1">
      <alignment vertical="center"/>
    </xf>
    <xf numFmtId="41" fontId="19" fillId="10" borderId="3" xfId="1" applyFont="1" applyFill="1" applyBorder="1" applyAlignment="1" applyProtection="1">
      <alignment vertical="center"/>
    </xf>
    <xf numFmtId="0" fontId="19" fillId="0" borderId="4" xfId="1" applyNumberFormat="1" applyFont="1" applyFill="1" applyBorder="1" applyAlignment="1" applyProtection="1">
      <alignment horizontal="center" vertical="center"/>
    </xf>
    <xf numFmtId="41" fontId="18" fillId="9" borderId="5" xfId="1" applyFont="1" applyFill="1" applyBorder="1" applyAlignment="1" applyProtection="1">
      <alignment vertical="center"/>
    </xf>
    <xf numFmtId="41" fontId="18" fillId="0" borderId="5" xfId="1" applyFont="1" applyFill="1" applyBorder="1" applyAlignment="1" applyProtection="1">
      <alignment vertical="center"/>
    </xf>
    <xf numFmtId="41" fontId="18" fillId="0" borderId="67" xfId="1" applyFont="1" applyFill="1" applyBorder="1" applyAlignment="1" applyProtection="1">
      <alignment vertical="center"/>
    </xf>
    <xf numFmtId="41" fontId="18" fillId="0" borderId="95" xfId="1" applyFont="1" applyFill="1" applyBorder="1" applyAlignment="1" applyProtection="1">
      <alignment vertical="center"/>
    </xf>
    <xf numFmtId="41" fontId="18" fillId="0" borderId="40" xfId="1" applyFont="1" applyFill="1" applyBorder="1" applyAlignment="1" applyProtection="1">
      <alignment vertical="center"/>
    </xf>
    <xf numFmtId="41" fontId="18" fillId="0" borderId="28" xfId="1" applyFont="1" applyFill="1" applyBorder="1" applyAlignment="1" applyProtection="1">
      <alignment vertical="center"/>
    </xf>
    <xf numFmtId="41" fontId="18" fillId="0" borderId="81" xfId="1" applyFont="1" applyFill="1" applyBorder="1" applyAlignment="1" applyProtection="1">
      <alignment vertical="center"/>
    </xf>
    <xf numFmtId="0" fontId="3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180" fontId="27" fillId="6" borderId="61" xfId="0" applyNumberFormat="1" applyFont="1" applyFill="1" applyBorder="1" applyAlignment="1" applyProtection="1">
      <alignment horizontal="center" vertical="center"/>
      <protection locked="0"/>
    </xf>
    <xf numFmtId="178" fontId="27" fillId="6" borderId="62" xfId="1" applyNumberFormat="1" applyFont="1" applyFill="1" applyBorder="1" applyAlignment="1" applyProtection="1">
      <alignment vertical="center"/>
      <protection locked="0"/>
    </xf>
    <xf numFmtId="178" fontId="12" fillId="6" borderId="64" xfId="1" applyNumberFormat="1" applyFont="1" applyFill="1" applyBorder="1" applyAlignment="1" applyProtection="1">
      <alignment horizontal="left" vertical="center" shrinkToFit="1"/>
      <protection locked="0"/>
    </xf>
    <xf numFmtId="178" fontId="27" fillId="6" borderId="63" xfId="1" applyNumberFormat="1" applyFont="1" applyFill="1" applyBorder="1" applyAlignment="1" applyProtection="1">
      <alignment vertical="center"/>
    </xf>
    <xf numFmtId="178" fontId="12" fillId="6" borderId="102" xfId="1" applyNumberFormat="1" applyFont="1" applyFill="1" applyBorder="1" applyAlignment="1">
      <alignment horizontal="left" vertical="center" shrinkToFit="1"/>
    </xf>
    <xf numFmtId="178" fontId="31" fillId="3" borderId="100" xfId="1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7" fillId="6" borderId="62" xfId="0" applyFont="1" applyFill="1" applyBorder="1" applyAlignment="1" applyProtection="1">
      <alignment vertical="center" shrinkToFit="1"/>
      <protection locked="0"/>
    </xf>
    <xf numFmtId="0" fontId="12" fillId="0" borderId="0" xfId="0" applyFont="1" applyAlignment="1">
      <alignment horizontal="center" vertical="center"/>
    </xf>
    <xf numFmtId="41" fontId="12" fillId="0" borderId="0" xfId="1" applyFont="1" applyAlignment="1">
      <alignment horizontal="center" vertical="center"/>
    </xf>
    <xf numFmtId="0" fontId="12" fillId="0" borderId="121" xfId="0" applyFont="1" applyBorder="1" applyAlignment="1">
      <alignment horizontal="center" vertical="center"/>
    </xf>
    <xf numFmtId="41" fontId="12" fillId="0" borderId="121" xfId="1" applyFont="1" applyBorder="1" applyAlignment="1">
      <alignment horizontal="center" vertical="center"/>
    </xf>
    <xf numFmtId="0" fontId="12" fillId="0" borderId="154" xfId="0" applyFont="1" applyBorder="1" applyAlignment="1">
      <alignment horizontal="center" vertical="center"/>
    </xf>
    <xf numFmtId="41" fontId="12" fillId="0" borderId="154" xfId="1" applyFont="1" applyBorder="1" applyAlignment="1">
      <alignment horizontal="center" vertical="center"/>
    </xf>
    <xf numFmtId="0" fontId="35" fillId="14" borderId="155" xfId="0" applyFont="1" applyFill="1" applyBorder="1" applyAlignment="1">
      <alignment horizontal="center" vertical="center"/>
    </xf>
    <xf numFmtId="0" fontId="35" fillId="14" borderId="158" xfId="0" applyFont="1" applyFill="1" applyBorder="1" applyAlignment="1">
      <alignment horizontal="center" vertical="center"/>
    </xf>
    <xf numFmtId="0" fontId="12" fillId="0" borderId="153" xfId="0" applyFont="1" applyBorder="1" applyAlignment="1">
      <alignment horizontal="center" vertical="center"/>
    </xf>
    <xf numFmtId="0" fontId="12" fillId="2" borderId="156" xfId="0" applyFont="1" applyFill="1" applyBorder="1" applyAlignment="1">
      <alignment horizontal="center" vertical="center"/>
    </xf>
    <xf numFmtId="0" fontId="12" fillId="2" borderId="157" xfId="0" applyFont="1" applyFill="1" applyBorder="1" applyAlignment="1">
      <alignment horizontal="center" vertical="center"/>
    </xf>
    <xf numFmtId="0" fontId="12" fillId="2" borderId="15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2" borderId="163" xfId="0" applyFont="1" applyFill="1" applyBorder="1" applyAlignment="1">
      <alignment horizontal="center" vertical="center"/>
    </xf>
    <xf numFmtId="0" fontId="12" fillId="2" borderId="164" xfId="0" applyFont="1" applyFill="1" applyBorder="1" applyAlignment="1">
      <alignment horizontal="center" vertical="center"/>
    </xf>
    <xf numFmtId="0" fontId="12" fillId="6" borderId="168" xfId="0" applyFont="1" applyFill="1" applyBorder="1" applyAlignment="1">
      <alignment horizontal="center" vertical="center"/>
    </xf>
    <xf numFmtId="0" fontId="12" fillId="15" borderId="166" xfId="0" applyFont="1" applyFill="1" applyBorder="1" applyAlignment="1">
      <alignment horizontal="center" vertical="center"/>
    </xf>
    <xf numFmtId="0" fontId="12" fillId="15" borderId="167" xfId="0" applyFont="1" applyFill="1" applyBorder="1" applyAlignment="1">
      <alignment horizontal="center" vertical="center"/>
    </xf>
    <xf numFmtId="0" fontId="12" fillId="15" borderId="161" xfId="0" applyFont="1" applyFill="1" applyBorder="1" applyAlignment="1">
      <alignment horizontal="center" vertical="center"/>
    </xf>
    <xf numFmtId="0" fontId="12" fillId="15" borderId="162" xfId="0" applyFont="1" applyFill="1" applyBorder="1" applyAlignment="1">
      <alignment horizontal="center" vertical="center"/>
    </xf>
    <xf numFmtId="0" fontId="12" fillId="13" borderId="165" xfId="0" applyFont="1" applyFill="1" applyBorder="1" applyAlignment="1">
      <alignment horizontal="center" vertical="center"/>
    </xf>
    <xf numFmtId="0" fontId="12" fillId="13" borderId="160" xfId="0" applyFont="1" applyFill="1" applyBorder="1" applyAlignment="1">
      <alignment horizontal="center" vertical="center"/>
    </xf>
    <xf numFmtId="0" fontId="30" fillId="2" borderId="170" xfId="0" applyFont="1" applyFill="1" applyBorder="1" applyAlignment="1">
      <alignment horizontal="center" vertical="center" shrinkToFit="1"/>
    </xf>
    <xf numFmtId="178" fontId="30" fillId="2" borderId="170" xfId="1" applyNumberFormat="1" applyFont="1" applyFill="1" applyBorder="1" applyAlignment="1">
      <alignment horizontal="center" vertical="center"/>
    </xf>
    <xf numFmtId="178" fontId="30" fillId="4" borderId="170" xfId="1" applyNumberFormat="1" applyFont="1" applyFill="1" applyBorder="1" applyAlignment="1">
      <alignment horizontal="center" vertical="center"/>
    </xf>
    <xf numFmtId="0" fontId="27" fillId="6" borderId="171" xfId="0" applyFont="1" applyFill="1" applyBorder="1" applyAlignment="1">
      <alignment vertical="center" shrinkToFit="1"/>
    </xf>
    <xf numFmtId="178" fontId="27" fillId="6" borderId="171" xfId="1" applyNumberFormat="1" applyFont="1" applyFill="1" applyBorder="1" applyAlignment="1">
      <alignment vertical="center"/>
    </xf>
    <xf numFmtId="180" fontId="30" fillId="2" borderId="169" xfId="0" applyNumberFormat="1" applyFont="1" applyFill="1" applyBorder="1" applyAlignment="1">
      <alignment horizontal="center" vertical="center"/>
    </xf>
    <xf numFmtId="180" fontId="27" fillId="6" borderId="172" xfId="0" applyNumberFormat="1" applyFont="1" applyFill="1" applyBorder="1" applyAlignment="1">
      <alignment horizontal="center" vertical="center"/>
    </xf>
    <xf numFmtId="41" fontId="12" fillId="0" borderId="0" xfId="1" applyFont="1" applyAlignment="1" applyProtection="1">
      <alignment horizontal="center" vertical="center"/>
    </xf>
    <xf numFmtId="41" fontId="12" fillId="0" borderId="121" xfId="1" applyFont="1" applyBorder="1" applyAlignment="1" applyProtection="1">
      <alignment horizontal="center" vertical="center"/>
    </xf>
    <xf numFmtId="41" fontId="12" fillId="0" borderId="154" xfId="1" applyFont="1" applyBorder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39" fillId="0" borderId="0" xfId="0" applyFont="1" applyAlignment="1">
      <alignment horizontal="left" vertical="center"/>
    </xf>
    <xf numFmtId="41" fontId="19" fillId="9" borderId="90" xfId="1" applyFont="1" applyFill="1" applyBorder="1" applyAlignment="1" applyProtection="1">
      <alignment vertical="center"/>
    </xf>
    <xf numFmtId="41" fontId="19" fillId="9" borderId="40" xfId="1" applyFont="1" applyFill="1" applyBorder="1" applyAlignment="1" applyProtection="1">
      <alignment vertical="center"/>
    </xf>
    <xf numFmtId="0" fontId="19" fillId="0" borderId="37" xfId="1" applyNumberFormat="1" applyFont="1" applyFill="1" applyBorder="1" applyAlignment="1" applyProtection="1">
      <alignment horizontal="center" vertical="center" wrapText="1"/>
    </xf>
    <xf numFmtId="0" fontId="19" fillId="0" borderId="39" xfId="1" applyNumberFormat="1" applyFont="1" applyFill="1" applyBorder="1" applyAlignment="1" applyProtection="1">
      <alignment horizontal="center" vertical="center"/>
    </xf>
    <xf numFmtId="0" fontId="19" fillId="0" borderId="175" xfId="1" applyNumberFormat="1" applyFont="1" applyFill="1" applyBorder="1" applyAlignment="1" applyProtection="1">
      <alignment vertical="center"/>
    </xf>
    <xf numFmtId="0" fontId="19" fillId="0" borderId="121" xfId="1" applyNumberFormat="1" applyFont="1" applyFill="1" applyBorder="1" applyAlignment="1" applyProtection="1">
      <alignment horizontal="center" vertical="center"/>
    </xf>
    <xf numFmtId="41" fontId="19" fillId="8" borderId="121" xfId="1" applyFont="1" applyFill="1" applyBorder="1" applyAlignment="1" applyProtection="1">
      <alignment vertical="center"/>
    </xf>
    <xf numFmtId="41" fontId="19" fillId="9" borderId="154" xfId="1" applyFont="1" applyFill="1" applyBorder="1" applyAlignment="1" applyProtecti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41" fontId="0" fillId="10" borderId="79" xfId="0" applyNumberFormat="1" applyFill="1" applyBorder="1">
      <alignment vertical="center"/>
    </xf>
    <xf numFmtId="0" fontId="0" fillId="0" borderId="22" xfId="0" applyBorder="1">
      <alignment vertical="center"/>
    </xf>
    <xf numFmtId="0" fontId="18" fillId="0" borderId="0" xfId="1" applyNumberFormat="1" applyFont="1" applyFill="1" applyBorder="1" applyAlignment="1" applyProtection="1">
      <alignment horizontal="right" vertical="center"/>
    </xf>
    <xf numFmtId="181" fontId="25" fillId="0" borderId="0" xfId="1" applyNumberFormat="1" applyFont="1" applyFill="1" applyBorder="1" applyAlignment="1" applyProtection="1">
      <alignment horizontal="left" vertical="center"/>
      <protection locked="0"/>
    </xf>
    <xf numFmtId="180" fontId="27" fillId="6" borderId="172" xfId="0" applyNumberFormat="1" applyFont="1" applyFill="1" applyBorder="1" applyAlignment="1" applyProtection="1">
      <alignment horizontal="center" vertical="center"/>
      <protection locked="0"/>
    </xf>
    <xf numFmtId="0" fontId="28" fillId="6" borderId="171" xfId="0" applyFont="1" applyFill="1" applyBorder="1" applyAlignment="1" applyProtection="1">
      <alignment vertical="center" shrinkToFit="1"/>
      <protection locked="0"/>
    </xf>
    <xf numFmtId="178" fontId="29" fillId="6" borderId="171" xfId="1" applyNumberFormat="1" applyFont="1" applyFill="1" applyBorder="1" applyAlignment="1" applyProtection="1">
      <alignment vertical="center"/>
      <protection locked="0"/>
    </xf>
    <xf numFmtId="178" fontId="27" fillId="6" borderId="171" xfId="1" applyNumberFormat="1" applyFont="1" applyFill="1" applyBorder="1" applyAlignment="1" applyProtection="1">
      <alignment vertical="center"/>
    </xf>
    <xf numFmtId="178" fontId="12" fillId="6" borderId="102" xfId="1" applyNumberFormat="1" applyFont="1" applyFill="1" applyBorder="1" applyAlignment="1" applyProtection="1">
      <alignment horizontal="left" vertical="center" shrinkToFit="1"/>
      <protection locked="0"/>
    </xf>
    <xf numFmtId="0" fontId="34" fillId="11" borderId="107" xfId="0" applyFont="1" applyFill="1" applyBorder="1" applyAlignment="1">
      <alignment horizontal="center" vertical="center" wrapText="1"/>
    </xf>
    <xf numFmtId="0" fontId="34" fillId="11" borderId="109" xfId="0" applyFont="1" applyFill="1" applyBorder="1" applyAlignment="1">
      <alignment horizontal="center" vertical="center" shrinkToFit="1"/>
    </xf>
    <xf numFmtId="0" fontId="34" fillId="11" borderId="110" xfId="0" applyFont="1" applyFill="1" applyBorder="1" applyAlignment="1">
      <alignment horizontal="center" vertical="center" wrapText="1"/>
    </xf>
    <xf numFmtId="14" fontId="15" fillId="0" borderId="0" xfId="0" applyNumberFormat="1" applyFont="1">
      <alignment vertical="center"/>
    </xf>
    <xf numFmtId="0" fontId="15" fillId="0" borderId="149" xfId="0" applyFont="1" applyBorder="1" applyAlignment="1">
      <alignment horizontal="center" vertical="center" shrinkToFit="1"/>
    </xf>
    <xf numFmtId="0" fontId="13" fillId="0" borderId="143" xfId="0" applyFont="1" applyBorder="1" applyAlignment="1">
      <alignment horizontal="left" vertical="center" shrinkToFit="1"/>
    </xf>
    <xf numFmtId="41" fontId="15" fillId="0" borderId="144" xfId="1" applyFont="1" applyBorder="1" applyAlignment="1" applyProtection="1">
      <alignment vertical="center" wrapText="1"/>
    </xf>
    <xf numFmtId="41" fontId="34" fillId="0" borderId="150" xfId="0" applyNumberFormat="1" applyFont="1" applyBorder="1" applyAlignment="1">
      <alignment horizontal="center" vertical="center" wrapText="1"/>
    </xf>
    <xf numFmtId="0" fontId="15" fillId="0" borderId="147" xfId="0" applyFont="1" applyBorder="1" applyAlignment="1">
      <alignment horizontal="center" vertical="center" shrinkToFit="1"/>
    </xf>
    <xf numFmtId="0" fontId="13" fillId="0" borderId="142" xfId="0" applyFont="1" applyBorder="1" applyAlignment="1">
      <alignment horizontal="left" vertical="center" shrinkToFit="1"/>
    </xf>
    <xf numFmtId="41" fontId="15" fillId="0" borderId="121" xfId="1" applyFont="1" applyBorder="1" applyAlignment="1" applyProtection="1">
      <alignment vertical="center" wrapText="1"/>
    </xf>
    <xf numFmtId="41" fontId="34" fillId="0" borderId="97" xfId="0" applyNumberFormat="1" applyFont="1" applyBorder="1" applyAlignment="1">
      <alignment horizontal="center" vertical="center" wrapText="1"/>
    </xf>
    <xf numFmtId="0" fontId="15" fillId="0" borderId="148" xfId="0" applyFont="1" applyBorder="1" applyAlignment="1">
      <alignment horizontal="left" vertical="center" indent="1" shrinkToFit="1"/>
    </xf>
    <xf numFmtId="41" fontId="34" fillId="0" borderId="151" xfId="0" applyNumberFormat="1" applyFont="1" applyBorder="1" applyAlignment="1">
      <alignment horizontal="center" vertical="center" wrapText="1"/>
    </xf>
    <xf numFmtId="41" fontId="14" fillId="12" borderId="114" xfId="0" applyNumberFormat="1" applyFont="1" applyFill="1" applyBorder="1" applyAlignment="1">
      <alignment horizontal="left" vertical="center"/>
    </xf>
    <xf numFmtId="41" fontId="34" fillId="12" borderId="114" xfId="0" applyNumberFormat="1" applyFont="1" applyFill="1" applyBorder="1" applyAlignment="1">
      <alignment horizontal="right" vertical="center"/>
    </xf>
    <xf numFmtId="41" fontId="34" fillId="12" borderId="118" xfId="1" applyFont="1" applyFill="1" applyBorder="1" applyAlignment="1" applyProtection="1">
      <alignment vertical="center" wrapText="1"/>
    </xf>
    <xf numFmtId="41" fontId="40" fillId="7" borderId="118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43" fillId="0" borderId="0" xfId="0" applyFont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  <xf numFmtId="0" fontId="12" fillId="13" borderId="145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13" borderId="146" xfId="0" applyFont="1" applyFill="1" applyBorder="1" applyAlignment="1">
      <alignment horizontal="center" vertical="center" shrinkToFit="1"/>
    </xf>
    <xf numFmtId="0" fontId="42" fillId="3" borderId="146" xfId="0" applyFont="1" applyFill="1" applyBorder="1" applyAlignment="1">
      <alignment horizontal="center" vertical="center" shrinkToFit="1"/>
    </xf>
    <xf numFmtId="0" fontId="37" fillId="0" borderId="0" xfId="0" applyFont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37" fillId="6" borderId="152" xfId="0" applyFont="1" applyFill="1" applyBorder="1" applyAlignment="1">
      <alignment horizontal="center" vertical="center" shrinkToFit="1"/>
    </xf>
    <xf numFmtId="0" fontId="37" fillId="6" borderId="0" xfId="0" applyFont="1" applyFill="1" applyAlignment="1" applyProtection="1">
      <alignment horizontal="center" vertical="center" shrinkToFit="1"/>
      <protection locked="0"/>
    </xf>
    <xf numFmtId="0" fontId="37" fillId="6" borderId="0" xfId="0" applyFont="1" applyFill="1" applyAlignment="1">
      <alignment horizontal="center" vertical="center" shrinkToFit="1"/>
    </xf>
    <xf numFmtId="0" fontId="44" fillId="6" borderId="0" xfId="0" applyFont="1" applyFill="1" applyAlignment="1">
      <alignment horizontal="left" vertical="center" shrinkToFit="1"/>
    </xf>
    <xf numFmtId="0" fontId="41" fillId="6" borderId="0" xfId="0" applyFont="1" applyFill="1" applyAlignment="1">
      <alignment horizontal="left" vertical="center" shrinkToFit="1"/>
    </xf>
    <xf numFmtId="0" fontId="42" fillId="6" borderId="0" xfId="0" applyFont="1" applyFill="1" applyAlignment="1">
      <alignment horizontal="left" vertical="center"/>
    </xf>
    <xf numFmtId="0" fontId="15" fillId="16" borderId="179" xfId="0" applyFont="1" applyFill="1" applyBorder="1" applyAlignment="1">
      <alignment horizontal="left" vertical="center" shrinkToFit="1"/>
    </xf>
    <xf numFmtId="0" fontId="15" fillId="16" borderId="180" xfId="0" applyFont="1" applyFill="1" applyBorder="1" applyAlignment="1">
      <alignment horizontal="left" vertical="center" shrinkToFit="1"/>
    </xf>
    <xf numFmtId="0" fontId="13" fillId="16" borderId="179" xfId="0" applyFont="1" applyFill="1" applyBorder="1" applyAlignment="1">
      <alignment horizontal="left" vertical="center" shrinkToFit="1"/>
    </xf>
    <xf numFmtId="0" fontId="13" fillId="16" borderId="180" xfId="0" applyFont="1" applyFill="1" applyBorder="1" applyAlignment="1">
      <alignment horizontal="left" vertical="center" shrinkToFit="1"/>
    </xf>
    <xf numFmtId="0" fontId="13" fillId="16" borderId="182" xfId="0" applyFont="1" applyFill="1" applyBorder="1" applyAlignment="1">
      <alignment horizontal="left" vertical="center" shrinkToFit="1"/>
    </xf>
    <xf numFmtId="0" fontId="13" fillId="16" borderId="183" xfId="0" applyFont="1" applyFill="1" applyBorder="1" applyAlignment="1">
      <alignment horizontal="left" vertical="center" shrinkToFit="1"/>
    </xf>
    <xf numFmtId="0" fontId="41" fillId="17" borderId="99" xfId="0" applyFont="1" applyFill="1" applyBorder="1" applyAlignment="1">
      <alignment horizontal="center" vertical="center" shrinkToFit="1"/>
    </xf>
    <xf numFmtId="0" fontId="41" fillId="5" borderId="99" xfId="0" applyFont="1" applyFill="1" applyBorder="1" applyAlignment="1">
      <alignment horizontal="center" vertical="center" shrinkToFit="1"/>
    </xf>
    <xf numFmtId="0" fontId="15" fillId="16" borderId="185" xfId="0" applyFont="1" applyFill="1" applyBorder="1" applyAlignment="1">
      <alignment horizontal="left" vertical="center" shrinkToFit="1"/>
    </xf>
    <xf numFmtId="0" fontId="15" fillId="16" borderId="186" xfId="0" applyFont="1" applyFill="1" applyBorder="1" applyAlignment="1">
      <alignment horizontal="left" vertical="center" shrinkToFit="1"/>
    </xf>
    <xf numFmtId="0" fontId="16" fillId="16" borderId="188" xfId="0" applyFont="1" applyFill="1" applyBorder="1" applyAlignment="1">
      <alignment horizontal="center" vertical="center" shrinkToFit="1"/>
    </xf>
    <xf numFmtId="0" fontId="16" fillId="16" borderId="189" xfId="0" applyFont="1" applyFill="1" applyBorder="1" applyAlignment="1">
      <alignment horizontal="center" vertical="center" shrinkToFit="1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7" fillId="0" borderId="177" xfId="0" applyFont="1" applyBorder="1" applyAlignment="1">
      <alignment horizontal="center" vertical="center" shrinkToFit="1"/>
    </xf>
    <xf numFmtId="0" fontId="37" fillId="0" borderId="191" xfId="0" applyFont="1" applyBorder="1" applyAlignment="1">
      <alignment horizontal="center" vertical="center" shrinkToFit="1"/>
    </xf>
    <xf numFmtId="0" fontId="49" fillId="6" borderId="0" xfId="0" applyFont="1" applyFill="1" applyAlignment="1">
      <alignment vertical="center" shrinkToFit="1"/>
    </xf>
    <xf numFmtId="0" fontId="48" fillId="0" borderId="0" xfId="0" applyFont="1" applyAlignment="1">
      <alignment vertical="center" shrinkToFit="1"/>
    </xf>
    <xf numFmtId="0" fontId="15" fillId="0" borderId="111" xfId="0" applyFont="1" applyBorder="1" applyAlignment="1">
      <alignment horizontal="left" vertical="center" indent="1" shrinkToFit="1"/>
    </xf>
    <xf numFmtId="0" fontId="15" fillId="0" borderId="194" xfId="0" applyFont="1" applyBorder="1" applyAlignment="1">
      <alignment horizontal="left" vertical="center" indent="1" shrinkToFit="1"/>
    </xf>
    <xf numFmtId="41" fontId="34" fillId="0" borderId="195" xfId="1" applyFont="1" applyBorder="1" applyAlignment="1" applyProtection="1">
      <alignment horizontal="center" vertical="center" wrapText="1"/>
    </xf>
    <xf numFmtId="41" fontId="34" fillId="0" borderId="85" xfId="1" applyFont="1" applyBorder="1" applyAlignment="1" applyProtection="1">
      <alignment horizontal="center" vertical="center" wrapText="1"/>
    </xf>
    <xf numFmtId="0" fontId="15" fillId="0" borderId="196" xfId="0" applyFont="1" applyBorder="1" applyAlignment="1">
      <alignment horizontal="left" vertical="center" indent="1" shrinkToFit="1"/>
    </xf>
    <xf numFmtId="41" fontId="34" fillId="0" borderId="197" xfId="1" applyFont="1" applyBorder="1" applyAlignment="1" applyProtection="1">
      <alignment horizontal="center" vertical="center" wrapText="1"/>
    </xf>
    <xf numFmtId="0" fontId="15" fillId="0" borderId="143" xfId="0" applyFont="1" applyBorder="1" applyAlignment="1">
      <alignment horizontal="left" vertical="center" shrinkToFit="1"/>
    </xf>
    <xf numFmtId="0" fontId="15" fillId="0" borderId="153" xfId="0" applyFont="1" applyBorder="1" applyAlignment="1">
      <alignment horizontal="left" vertical="center" shrinkToFit="1"/>
    </xf>
    <xf numFmtId="0" fontId="15" fillId="0" borderId="109" xfId="0" applyFont="1" applyBorder="1" applyAlignment="1">
      <alignment horizontal="left" vertical="center" shrinkToFit="1"/>
    </xf>
    <xf numFmtId="41" fontId="15" fillId="0" borderId="108" xfId="1" applyFont="1" applyBorder="1" applyAlignment="1" applyProtection="1">
      <alignment vertical="center" wrapText="1"/>
    </xf>
    <xf numFmtId="0" fontId="19" fillId="0" borderId="0" xfId="1" applyNumberFormat="1" applyFont="1" applyFill="1" applyBorder="1" applyAlignment="1" applyProtection="1">
      <alignment vertical="center"/>
      <protection locked="0"/>
    </xf>
    <xf numFmtId="41" fontId="19" fillId="0" borderId="0" xfId="1" applyFont="1" applyFill="1" applyBorder="1" applyAlignment="1" applyProtection="1">
      <alignment vertical="center"/>
      <protection locked="0"/>
    </xf>
    <xf numFmtId="41" fontId="23" fillId="0" borderId="0" xfId="1" applyFont="1" applyFill="1" applyBorder="1" applyAlignment="1" applyProtection="1">
      <alignment vertical="center"/>
      <protection locked="0"/>
    </xf>
    <xf numFmtId="0" fontId="25" fillId="0" borderId="0" xfId="1" applyNumberFormat="1" applyFont="1" applyFill="1" applyBorder="1" applyAlignment="1" applyProtection="1">
      <alignment horizontal="right" vertical="center"/>
    </xf>
    <xf numFmtId="182" fontId="25" fillId="0" borderId="0" xfId="1" applyNumberFormat="1" applyFont="1" applyFill="1" applyBorder="1" applyAlignment="1" applyProtection="1">
      <alignment horizontal="left" vertical="center"/>
    </xf>
    <xf numFmtId="14" fontId="41" fillId="18" borderId="0" xfId="0" applyNumberFormat="1" applyFont="1" applyFill="1" applyAlignment="1">
      <alignment horizontal="center" vertical="center"/>
    </xf>
    <xf numFmtId="0" fontId="41" fillId="18" borderId="0" xfId="0" applyFont="1" applyFill="1" applyAlignment="1">
      <alignment horizontal="center" vertical="center"/>
    </xf>
    <xf numFmtId="0" fontId="37" fillId="7" borderId="178" xfId="0" applyFont="1" applyFill="1" applyBorder="1" applyAlignment="1" applyProtection="1">
      <alignment horizontal="center" vertical="center" shrinkToFit="1"/>
      <protection locked="0"/>
    </xf>
    <xf numFmtId="0" fontId="37" fillId="7" borderId="192" xfId="0" applyFont="1" applyFill="1" applyBorder="1" applyAlignment="1" applyProtection="1">
      <alignment horizontal="center" vertical="center" shrinkToFit="1"/>
      <protection locked="0"/>
    </xf>
    <xf numFmtId="0" fontId="37" fillId="7" borderId="190" xfId="0" applyFont="1" applyFill="1" applyBorder="1" applyAlignment="1" applyProtection="1">
      <alignment horizontal="center" vertical="center" shrinkToFit="1"/>
      <protection locked="0"/>
    </xf>
    <xf numFmtId="0" fontId="15" fillId="7" borderId="186" xfId="0" applyFont="1" applyFill="1" applyBorder="1" applyAlignment="1" applyProtection="1">
      <alignment horizontal="left" vertical="center" shrinkToFit="1"/>
      <protection locked="0"/>
    </xf>
    <xf numFmtId="0" fontId="13" fillId="7" borderId="186" xfId="0" applyFont="1" applyFill="1" applyBorder="1" applyAlignment="1" applyProtection="1">
      <alignment horizontal="left" vertical="center" shrinkToFit="1"/>
      <protection locked="0"/>
    </xf>
    <xf numFmtId="0" fontId="13" fillId="7" borderId="187" xfId="0" applyFont="1" applyFill="1" applyBorder="1" applyAlignment="1" applyProtection="1">
      <alignment horizontal="left" vertical="center" shrinkToFit="1"/>
      <protection locked="0"/>
    </xf>
    <xf numFmtId="0" fontId="13" fillId="7" borderId="180" xfId="0" applyFont="1" applyFill="1" applyBorder="1" applyAlignment="1" applyProtection="1">
      <alignment horizontal="left" vertical="center" shrinkToFit="1"/>
      <protection locked="0"/>
    </xf>
    <xf numFmtId="0" fontId="15" fillId="7" borderId="180" xfId="0" applyFont="1" applyFill="1" applyBorder="1" applyAlignment="1" applyProtection="1">
      <alignment horizontal="left" vertical="center" shrinkToFit="1"/>
      <protection locked="0"/>
    </xf>
    <xf numFmtId="0" fontId="15" fillId="7" borderId="181" xfId="0" applyFont="1" applyFill="1" applyBorder="1" applyAlignment="1" applyProtection="1">
      <alignment horizontal="left" vertical="center" shrinkToFit="1"/>
      <protection locked="0"/>
    </xf>
    <xf numFmtId="0" fontId="13" fillId="7" borderId="181" xfId="0" applyFont="1" applyFill="1" applyBorder="1" applyAlignment="1" applyProtection="1">
      <alignment horizontal="left" vertical="center" shrinkToFit="1"/>
      <protection locked="0"/>
    </xf>
    <xf numFmtId="0" fontId="46" fillId="7" borderId="180" xfId="0" applyFont="1" applyFill="1" applyBorder="1" applyAlignment="1" applyProtection="1">
      <alignment horizontal="left" vertical="center" shrinkToFit="1"/>
      <protection locked="0"/>
    </xf>
    <xf numFmtId="0" fontId="13" fillId="7" borderId="183" xfId="0" applyFont="1" applyFill="1" applyBorder="1" applyAlignment="1" applyProtection="1">
      <alignment horizontal="left" vertical="center" shrinkToFit="1"/>
      <protection locked="0"/>
    </xf>
    <xf numFmtId="0" fontId="13" fillId="7" borderId="184" xfId="0" applyFont="1" applyFill="1" applyBorder="1" applyAlignment="1" applyProtection="1">
      <alignment horizontal="left" vertical="center" shrinkToFit="1"/>
      <protection locked="0"/>
    </xf>
    <xf numFmtId="0" fontId="16" fillId="7" borderId="189" xfId="0" applyFont="1" applyFill="1" applyBorder="1" applyAlignment="1" applyProtection="1">
      <alignment horizontal="center" vertical="center" shrinkToFit="1"/>
      <protection locked="0"/>
    </xf>
    <xf numFmtId="0" fontId="16" fillId="7" borderId="190" xfId="0" applyFont="1" applyFill="1" applyBorder="1" applyAlignment="1" applyProtection="1">
      <alignment horizontal="center" vertical="center" shrinkToFit="1"/>
      <protection locked="0"/>
    </xf>
    <xf numFmtId="0" fontId="16" fillId="7" borderId="188" xfId="0" applyFont="1" applyFill="1" applyBorder="1" applyAlignment="1" applyProtection="1">
      <alignment horizontal="center" vertical="center" shrinkToFit="1"/>
      <protection locked="0"/>
    </xf>
    <xf numFmtId="0" fontId="15" fillId="7" borderId="185" xfId="0" applyFont="1" applyFill="1" applyBorder="1" applyAlignment="1" applyProtection="1">
      <alignment horizontal="center" vertical="center" shrinkToFit="1"/>
      <protection locked="0"/>
    </xf>
    <xf numFmtId="0" fontId="15" fillId="7" borderId="186" xfId="0" applyFont="1" applyFill="1" applyBorder="1" applyAlignment="1" applyProtection="1">
      <alignment horizontal="center" vertical="center" shrinkToFit="1"/>
      <protection locked="0"/>
    </xf>
    <xf numFmtId="0" fontId="15" fillId="7" borderId="187" xfId="0" applyFont="1" applyFill="1" applyBorder="1" applyAlignment="1" applyProtection="1">
      <alignment horizontal="center" vertical="center" shrinkToFit="1"/>
      <protection locked="0"/>
    </xf>
    <xf numFmtId="0" fontId="15" fillId="7" borderId="179" xfId="0" applyFont="1" applyFill="1" applyBorder="1" applyAlignment="1" applyProtection="1">
      <alignment horizontal="center" vertical="center" shrinkToFit="1"/>
      <protection locked="0"/>
    </xf>
    <xf numFmtId="0" fontId="15" fillId="7" borderId="180" xfId="0" applyFont="1" applyFill="1" applyBorder="1" applyAlignment="1" applyProtection="1">
      <alignment horizontal="center" vertical="center" shrinkToFit="1"/>
      <protection locked="0"/>
    </xf>
    <xf numFmtId="0" fontId="15" fillId="7" borderId="181" xfId="0" applyFont="1" applyFill="1" applyBorder="1" applyAlignment="1" applyProtection="1">
      <alignment horizontal="center" vertical="center" shrinkToFit="1"/>
      <protection locked="0"/>
    </xf>
    <xf numFmtId="0" fontId="15" fillId="7" borderId="182" xfId="0" applyFont="1" applyFill="1" applyBorder="1" applyAlignment="1" applyProtection="1">
      <alignment horizontal="center" vertical="center" shrinkToFit="1"/>
      <protection locked="0"/>
    </xf>
    <xf numFmtId="0" fontId="15" fillId="7" borderId="183" xfId="0" applyFont="1" applyFill="1" applyBorder="1" applyAlignment="1" applyProtection="1">
      <alignment horizontal="center" vertical="center" shrinkToFit="1"/>
      <protection locked="0"/>
    </xf>
    <xf numFmtId="0" fontId="15" fillId="7" borderId="184" xfId="0" applyFont="1" applyFill="1" applyBorder="1" applyAlignment="1" applyProtection="1">
      <alignment horizontal="center" vertical="center" shrinkToFit="1"/>
      <protection locked="0"/>
    </xf>
    <xf numFmtId="0" fontId="13" fillId="16" borderId="180" xfId="0" applyFont="1" applyFill="1" applyBorder="1" applyAlignment="1" applyProtection="1">
      <alignment horizontal="left" vertical="center" shrinkToFit="1"/>
      <protection locked="0"/>
    </xf>
    <xf numFmtId="0" fontId="13" fillId="7" borderId="0" xfId="0" applyFont="1" applyFill="1" applyAlignment="1">
      <alignment horizontal="left" vertical="center"/>
    </xf>
    <xf numFmtId="0" fontId="51" fillId="0" borderId="4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133" xfId="0" applyFont="1" applyBorder="1" applyAlignment="1">
      <alignment horizontal="center" vertical="center"/>
    </xf>
    <xf numFmtId="41" fontId="23" fillId="0" borderId="133" xfId="1" applyFont="1" applyBorder="1" applyAlignment="1">
      <alignment horizontal="center" vertical="center"/>
    </xf>
    <xf numFmtId="0" fontId="23" fillId="0" borderId="134" xfId="0" applyFont="1" applyBorder="1" applyAlignment="1">
      <alignment horizontal="center" vertical="center"/>
    </xf>
    <xf numFmtId="0" fontId="23" fillId="0" borderId="132" xfId="0" applyFont="1" applyBorder="1" applyAlignment="1">
      <alignment horizontal="center" vertical="center"/>
    </xf>
    <xf numFmtId="0" fontId="23" fillId="0" borderId="140" xfId="0" applyFont="1" applyBorder="1" applyAlignment="1">
      <alignment horizontal="center" vertical="center"/>
    </xf>
    <xf numFmtId="177" fontId="23" fillId="0" borderId="139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7" fontId="23" fillId="0" borderId="124" xfId="0" applyNumberFormat="1" applyFont="1" applyBorder="1" applyAlignment="1">
      <alignment horizontal="right" vertical="center" indent="1"/>
    </xf>
    <xf numFmtId="177" fontId="53" fillId="0" borderId="128" xfId="0" applyNumberFormat="1" applyFont="1" applyBorder="1" applyAlignment="1">
      <alignment horizontal="right" vertical="center" indent="1"/>
    </xf>
    <xf numFmtId="0" fontId="23" fillId="0" borderId="3" xfId="0" applyFont="1" applyBorder="1" applyAlignment="1">
      <alignment horizontal="center" vertical="center"/>
    </xf>
    <xf numFmtId="177" fontId="23" fillId="0" borderId="3" xfId="1" applyNumberFormat="1" applyFont="1" applyBorder="1" applyAlignment="1">
      <alignment horizontal="right" vertical="center" indent="1"/>
    </xf>
    <xf numFmtId="177" fontId="23" fillId="0" borderId="8" xfId="0" applyNumberFormat="1" applyFont="1" applyBorder="1" applyAlignment="1">
      <alignment horizontal="right" vertical="center" indent="1"/>
    </xf>
    <xf numFmtId="177" fontId="23" fillId="0" borderId="3" xfId="1" applyNumberFormat="1" applyFont="1" applyBorder="1" applyAlignment="1">
      <alignment horizontal="center" vertical="center"/>
    </xf>
    <xf numFmtId="177" fontId="23" fillId="0" borderId="14" xfId="0" applyNumberFormat="1" applyFont="1" applyBorder="1" applyAlignment="1">
      <alignment horizontal="right" vertical="center" indent="1"/>
    </xf>
    <xf numFmtId="0" fontId="15" fillId="0" borderId="4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3" xfId="0" applyFont="1" applyBorder="1" applyAlignment="1">
      <alignment horizontal="center" vertical="center"/>
    </xf>
    <xf numFmtId="41" fontId="12" fillId="0" borderId="133" xfId="1" applyFont="1" applyBorder="1" applyAlignment="1" applyProtection="1">
      <alignment horizontal="center" vertical="center"/>
    </xf>
    <xf numFmtId="0" fontId="12" fillId="0" borderId="134" xfId="0" applyFont="1" applyBorder="1" applyAlignment="1">
      <alignment horizontal="center" vertical="center"/>
    </xf>
    <xf numFmtId="0" fontId="12" fillId="0" borderId="132" xfId="0" applyFont="1" applyBorder="1" applyAlignment="1">
      <alignment horizontal="center" vertical="center"/>
    </xf>
    <xf numFmtId="0" fontId="12" fillId="0" borderId="140" xfId="0" applyFont="1" applyBorder="1" applyAlignment="1">
      <alignment horizontal="center" vertical="center"/>
    </xf>
    <xf numFmtId="177" fontId="12" fillId="0" borderId="139" xfId="0" applyNumberFormat="1" applyFont="1" applyBorder="1" applyAlignment="1">
      <alignment horizontal="right" vertical="center" indent="1"/>
    </xf>
    <xf numFmtId="177" fontId="12" fillId="0" borderId="17" xfId="0" applyNumberFormat="1" applyFont="1" applyBorder="1" applyAlignment="1">
      <alignment horizontal="right" vertical="center" indent="1"/>
    </xf>
    <xf numFmtId="177" fontId="12" fillId="0" borderId="124" xfId="0" applyNumberFormat="1" applyFont="1" applyBorder="1" applyAlignment="1">
      <alignment horizontal="right" vertical="center" indent="1"/>
    </xf>
    <xf numFmtId="177" fontId="35" fillId="0" borderId="128" xfId="0" applyNumberFormat="1" applyFont="1" applyBorder="1" applyAlignment="1">
      <alignment horizontal="right" vertical="center" indent="1"/>
    </xf>
    <xf numFmtId="0" fontId="12" fillId="0" borderId="3" xfId="0" applyFont="1" applyBorder="1" applyAlignment="1">
      <alignment horizontal="center" vertical="center"/>
    </xf>
    <xf numFmtId="177" fontId="12" fillId="0" borderId="3" xfId="1" applyNumberFormat="1" applyFont="1" applyBorder="1" applyAlignment="1" applyProtection="1">
      <alignment horizontal="right" vertical="center" indent="1"/>
    </xf>
    <xf numFmtId="177" fontId="12" fillId="0" borderId="8" xfId="0" applyNumberFormat="1" applyFont="1" applyBorder="1" applyAlignment="1">
      <alignment horizontal="right" vertical="center" indent="1"/>
    </xf>
    <xf numFmtId="42" fontId="12" fillId="0" borderId="0" xfId="43" applyFont="1" applyAlignment="1" applyProtection="1">
      <alignment horizontal="center" vertical="center"/>
    </xf>
    <xf numFmtId="177" fontId="12" fillId="0" borderId="3" xfId="1" applyNumberFormat="1" applyFont="1" applyBorder="1" applyAlignment="1" applyProtection="1">
      <alignment horizontal="center" vertical="center"/>
    </xf>
    <xf numFmtId="177" fontId="12" fillId="0" borderId="14" xfId="0" applyNumberFormat="1" applyFont="1" applyBorder="1" applyAlignment="1">
      <alignment horizontal="right" vertical="center" indent="1"/>
    </xf>
    <xf numFmtId="0" fontId="12" fillId="0" borderId="0" xfId="0" applyFont="1" applyAlignment="1">
      <alignment horizontal="left" vertical="center"/>
    </xf>
    <xf numFmtId="0" fontId="35" fillId="0" borderId="198" xfId="0" applyFont="1" applyBorder="1" applyAlignment="1">
      <alignment horizontal="center" vertical="center"/>
    </xf>
    <xf numFmtId="14" fontId="35" fillId="0" borderId="199" xfId="0" applyNumberFormat="1" applyFont="1" applyBorder="1" applyAlignment="1">
      <alignment horizontal="center" vertical="center"/>
    </xf>
    <xf numFmtId="0" fontId="35" fillId="0" borderId="200" xfId="0" applyFont="1" applyBorder="1" applyAlignment="1">
      <alignment horizontal="center" vertical="center"/>
    </xf>
    <xf numFmtId="14" fontId="35" fillId="7" borderId="201" xfId="0" applyNumberFormat="1" applyFont="1" applyFill="1" applyBorder="1" applyAlignment="1" applyProtection="1">
      <alignment horizontal="center" vertical="center"/>
      <protection locked="0"/>
    </xf>
    <xf numFmtId="0" fontId="35" fillId="0" borderId="202" xfId="0" applyFont="1" applyBorder="1" applyAlignment="1">
      <alignment horizontal="center" vertical="center"/>
    </xf>
    <xf numFmtId="14" fontId="35" fillId="7" borderId="203" xfId="0" applyNumberFormat="1" applyFont="1" applyFill="1" applyBorder="1" applyAlignment="1" applyProtection="1">
      <alignment horizontal="center" vertical="center"/>
      <protection locked="0"/>
    </xf>
    <xf numFmtId="178" fontId="30" fillId="4" borderId="97" xfId="1" applyNumberFormat="1" applyFont="1" applyFill="1" applyBorder="1" applyAlignment="1">
      <alignment horizontal="center" vertical="center"/>
    </xf>
    <xf numFmtId="178" fontId="30" fillId="4" borderId="101" xfId="1" applyNumberFormat="1" applyFont="1" applyFill="1" applyBorder="1" applyAlignment="1">
      <alignment horizontal="center" vertical="center"/>
    </xf>
    <xf numFmtId="178" fontId="30" fillId="3" borderId="101" xfId="1" applyNumberFormat="1" applyFont="1" applyFill="1" applyBorder="1" applyAlignment="1">
      <alignment horizontal="center" vertical="center"/>
    </xf>
    <xf numFmtId="178" fontId="27" fillId="6" borderId="103" xfId="1" applyNumberFormat="1" applyFont="1" applyFill="1" applyBorder="1" applyAlignment="1">
      <alignment horizontal="center" vertical="center"/>
    </xf>
    <xf numFmtId="178" fontId="27" fillId="6" borderId="104" xfId="1" applyNumberFormat="1" applyFont="1" applyFill="1" applyBorder="1" applyAlignment="1">
      <alignment horizontal="center" vertical="center"/>
    </xf>
    <xf numFmtId="178" fontId="27" fillId="6" borderId="98" xfId="1" applyNumberFormat="1" applyFont="1" applyFill="1" applyBorder="1">
      <alignment vertical="center"/>
    </xf>
    <xf numFmtId="178" fontId="27" fillId="6" borderId="104" xfId="1" applyNumberFormat="1" applyFont="1" applyFill="1" applyBorder="1">
      <alignment vertical="center"/>
    </xf>
    <xf numFmtId="178" fontId="27" fillId="6" borderId="105" xfId="1" applyNumberFormat="1" applyFont="1" applyFill="1" applyBorder="1" applyAlignment="1" applyProtection="1">
      <alignment horizontal="center" vertical="center"/>
    </xf>
    <xf numFmtId="178" fontId="27" fillId="6" borderId="98" xfId="1" applyNumberFormat="1" applyFont="1" applyFill="1" applyBorder="1" applyAlignment="1" applyProtection="1">
      <alignment horizontal="center" vertical="center"/>
    </xf>
    <xf numFmtId="178" fontId="27" fillId="6" borderId="98" xfId="1" applyNumberFormat="1" applyFont="1" applyFill="1" applyBorder="1" applyProtection="1">
      <alignment vertical="center"/>
      <protection locked="0"/>
    </xf>
    <xf numFmtId="178" fontId="27" fillId="6" borderId="98" xfId="1" applyNumberFormat="1" applyFont="1" applyFill="1" applyBorder="1" applyProtection="1">
      <alignment vertical="center"/>
    </xf>
    <xf numFmtId="178" fontId="27" fillId="6" borderId="0" xfId="1" applyNumberFormat="1" applyFont="1" applyFill="1" applyBorder="1" applyAlignment="1" applyProtection="1">
      <alignment horizontal="center" vertical="center"/>
    </xf>
    <xf numFmtId="178" fontId="27" fillId="6" borderId="0" xfId="1" applyNumberFormat="1" applyFont="1" applyFill="1" applyBorder="1" applyProtection="1">
      <alignment vertical="center"/>
      <protection locked="0"/>
    </xf>
    <xf numFmtId="178" fontId="27" fillId="6" borderId="0" xfId="1" applyNumberFormat="1" applyFont="1" applyFill="1" applyBorder="1" applyProtection="1">
      <alignment vertical="center"/>
    </xf>
    <xf numFmtId="0" fontId="41" fillId="18" borderId="204" xfId="0" applyFont="1" applyFill="1" applyBorder="1" applyAlignment="1">
      <alignment horizontal="center" vertical="center"/>
    </xf>
    <xf numFmtId="0" fontId="41" fillId="18" borderId="207" xfId="0" applyFont="1" applyFill="1" applyBorder="1" applyAlignment="1">
      <alignment horizontal="center" vertical="center"/>
    </xf>
    <xf numFmtId="41" fontId="41" fillId="18" borderId="208" xfId="1" applyFont="1" applyFill="1" applyBorder="1" applyAlignment="1">
      <alignment horizontal="center" vertical="center"/>
    </xf>
    <xf numFmtId="41" fontId="0" fillId="0" borderId="208" xfId="1" applyFont="1" applyBorder="1">
      <alignment vertical="center"/>
    </xf>
    <xf numFmtId="41" fontId="0" fillId="0" borderId="209" xfId="1" applyFont="1" applyBorder="1">
      <alignment vertical="center"/>
    </xf>
    <xf numFmtId="0" fontId="41" fillId="18" borderId="210" xfId="0" applyFont="1" applyFill="1" applyBorder="1" applyAlignment="1">
      <alignment horizontal="center" vertical="center"/>
    </xf>
    <xf numFmtId="41" fontId="0" fillId="0" borderId="211" xfId="1" applyFont="1" applyBorder="1">
      <alignment vertical="center"/>
    </xf>
    <xf numFmtId="41" fontId="0" fillId="0" borderId="212" xfId="1" applyFont="1" applyBorder="1">
      <alignment vertical="center"/>
    </xf>
    <xf numFmtId="0" fontId="37" fillId="7" borderId="189" xfId="0" applyFont="1" applyFill="1" applyBorder="1" applyAlignment="1" applyProtection="1">
      <alignment horizontal="center" vertical="center" shrinkToFit="1"/>
      <protection locked="0"/>
    </xf>
    <xf numFmtId="178" fontId="63" fillId="6" borderId="64" xfId="45" applyNumberFormat="1" applyFill="1" applyBorder="1" applyAlignment="1" applyProtection="1">
      <alignment horizontal="left" vertical="center" shrinkToFit="1"/>
      <protection locked="0"/>
    </xf>
    <xf numFmtId="0" fontId="36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177" fontId="23" fillId="0" borderId="137" xfId="1" applyNumberFormat="1" applyFont="1" applyBorder="1" applyAlignment="1">
      <alignment horizontal="right" vertical="center" indent="1" shrinkToFit="1"/>
    </xf>
    <xf numFmtId="177" fontId="23" fillId="0" borderId="138" xfId="1" applyNumberFormat="1" applyFont="1" applyBorder="1" applyAlignment="1">
      <alignment horizontal="right" vertical="center" indent="1" shrinkToFit="1"/>
    </xf>
    <xf numFmtId="177" fontId="23" fillId="0" borderId="16" xfId="1" applyNumberFormat="1" applyFont="1" applyBorder="1" applyAlignment="1">
      <alignment horizontal="right" vertical="center" indent="1" shrinkToFit="1"/>
    </xf>
    <xf numFmtId="177" fontId="23" fillId="0" borderId="19" xfId="1" applyNumberFormat="1" applyFont="1" applyBorder="1" applyAlignment="1">
      <alignment horizontal="right" vertical="center" indent="1" shrinkToFit="1"/>
    </xf>
    <xf numFmtId="177" fontId="23" fillId="0" borderId="122" xfId="1" applyNumberFormat="1" applyFont="1" applyBorder="1" applyAlignment="1">
      <alignment horizontal="right" vertical="center" indent="1" shrinkToFit="1"/>
    </xf>
    <xf numFmtId="0" fontId="23" fillId="0" borderId="135" xfId="0" applyFont="1" applyBorder="1" applyAlignment="1">
      <alignment horizontal="left" vertical="center" indent="1" shrinkToFit="1"/>
    </xf>
    <xf numFmtId="0" fontId="23" fillId="0" borderId="136" xfId="0" applyFont="1" applyBorder="1" applyAlignment="1">
      <alignment horizontal="left" vertical="center" indent="1" shrinkToFit="1"/>
    </xf>
    <xf numFmtId="0" fontId="23" fillId="0" borderId="120" xfId="0" applyFont="1" applyBorder="1" applyAlignment="1">
      <alignment horizontal="left" vertical="center" indent="1" shrinkToFit="1"/>
    </xf>
    <xf numFmtId="0" fontId="23" fillId="0" borderId="32" xfId="0" applyFont="1" applyBorder="1" applyAlignment="1">
      <alignment horizontal="left" vertical="center" indent="1" shrinkToFit="1"/>
    </xf>
    <xf numFmtId="176" fontId="23" fillId="7" borderId="5" xfId="0" applyNumberFormat="1" applyFont="1" applyFill="1" applyBorder="1" applyAlignment="1" applyProtection="1">
      <alignment horizontal="center" vertical="center"/>
      <protection locked="0"/>
    </xf>
    <xf numFmtId="41" fontId="23" fillId="0" borderId="133" xfId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41" fontId="53" fillId="0" borderId="94" xfId="1" applyFont="1" applyBorder="1" applyAlignment="1">
      <alignment horizontal="center" vertical="center"/>
    </xf>
    <xf numFmtId="177" fontId="53" fillId="0" borderId="94" xfId="0" applyNumberFormat="1" applyFont="1" applyBorder="1" applyAlignment="1">
      <alignment horizontal="center" vertical="center"/>
    </xf>
    <xf numFmtId="0" fontId="53" fillId="0" borderId="69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 shrinkToFit="1"/>
    </xf>
    <xf numFmtId="0" fontId="23" fillId="0" borderId="125" xfId="0" applyFont="1" applyBorder="1" applyAlignment="1">
      <alignment horizontal="center" vertical="center" shrinkToFit="1"/>
    </xf>
    <xf numFmtId="177" fontId="23" fillId="0" borderId="3" xfId="1" applyNumberFormat="1" applyFont="1" applyBorder="1" applyAlignment="1">
      <alignment horizontal="right" vertical="center" indent="1"/>
    </xf>
    <xf numFmtId="0" fontId="23" fillId="0" borderId="16" xfId="0" applyFont="1" applyBorder="1" applyAlignment="1">
      <alignment horizontal="left" vertical="center" indent="1" shrinkToFit="1"/>
    </xf>
    <xf numFmtId="0" fontId="23" fillId="0" borderId="123" xfId="0" applyFont="1" applyBorder="1" applyAlignment="1">
      <alignment horizontal="left" vertical="center" indent="1" shrinkToFit="1"/>
    </xf>
    <xf numFmtId="0" fontId="53" fillId="0" borderId="126" xfId="0" applyFont="1" applyBorder="1" applyAlignment="1">
      <alignment horizontal="center" vertical="center"/>
    </xf>
    <xf numFmtId="0" fontId="53" fillId="0" borderId="12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 indent="1" shrinkToFit="1"/>
    </xf>
    <xf numFmtId="0" fontId="23" fillId="0" borderId="13" xfId="0" applyFont="1" applyBorder="1" applyAlignment="1">
      <alignment horizontal="left" vertical="center" indent="1" shrinkToFit="1"/>
    </xf>
    <xf numFmtId="0" fontId="23" fillId="0" borderId="15" xfId="0" applyFont="1" applyBorder="1" applyAlignment="1">
      <alignment horizontal="left" vertical="center" indent="1" shrinkToFit="1"/>
    </xf>
    <xf numFmtId="0" fontId="23" fillId="0" borderId="8" xfId="0" applyFont="1" applyBorder="1" applyAlignment="1">
      <alignment horizontal="center" vertical="center"/>
    </xf>
    <xf numFmtId="0" fontId="23" fillId="0" borderId="3" xfId="0" applyFont="1" applyBorder="1" applyAlignment="1">
      <alignment horizontal="right" vertical="center"/>
    </xf>
    <xf numFmtId="0" fontId="23" fillId="0" borderId="8" xfId="0" applyFont="1" applyBorder="1" applyAlignment="1">
      <alignment horizontal="right" vertical="center"/>
    </xf>
    <xf numFmtId="41" fontId="51" fillId="0" borderId="3" xfId="1" applyFont="1" applyBorder="1" applyAlignment="1">
      <alignment horizontal="center" vertical="center"/>
    </xf>
    <xf numFmtId="41" fontId="51" fillId="0" borderId="33" xfId="1" applyFont="1" applyBorder="1" applyAlignment="1">
      <alignment horizontal="center" vertical="center"/>
    </xf>
    <xf numFmtId="177" fontId="23" fillId="0" borderId="20" xfId="1" applyNumberFormat="1" applyFont="1" applyBorder="1" applyAlignment="1">
      <alignment horizontal="right" vertical="center" indent="1"/>
    </xf>
    <xf numFmtId="177" fontId="23" fillId="0" borderId="23" xfId="1" applyNumberFormat="1" applyFont="1" applyBorder="1" applyAlignment="1">
      <alignment horizontal="right" vertical="center" indent="1"/>
    </xf>
    <xf numFmtId="0" fontId="23" fillId="0" borderId="31" xfId="0" applyFont="1" applyBorder="1" applyAlignment="1">
      <alignment horizontal="left" vertical="center" indent="1" shrinkToFit="1"/>
    </xf>
    <xf numFmtId="0" fontId="23" fillId="0" borderId="129" xfId="0" applyFont="1" applyBorder="1" applyAlignment="1">
      <alignment horizontal="left" vertical="center" indent="1" shrinkToFit="1"/>
    </xf>
    <xf numFmtId="0" fontId="23" fillId="0" borderId="130" xfId="0" applyFont="1" applyBorder="1" applyAlignment="1">
      <alignment horizontal="left" vertical="center" indent="1" shrinkToFit="1"/>
    </xf>
    <xf numFmtId="177" fontId="23" fillId="0" borderId="24" xfId="1" applyNumberFormat="1" applyFont="1" applyBorder="1" applyAlignment="1">
      <alignment horizontal="right" vertical="center" indent="1" shrinkToFit="1"/>
    </xf>
    <xf numFmtId="177" fontId="23" fillId="0" borderId="25" xfId="1" applyNumberFormat="1" applyFont="1" applyBorder="1" applyAlignment="1">
      <alignment horizontal="right" vertical="center" indent="1" shrinkToFit="1"/>
    </xf>
    <xf numFmtId="177" fontId="23" fillId="0" borderId="31" xfId="1" applyNumberFormat="1" applyFont="1" applyBorder="1" applyAlignment="1">
      <alignment horizontal="right" vertical="center" indent="1" shrinkToFit="1"/>
    </xf>
    <xf numFmtId="177" fontId="23" fillId="0" borderId="32" xfId="1" applyNumberFormat="1" applyFont="1" applyBorder="1" applyAlignment="1">
      <alignment horizontal="right" vertical="center" indent="1" shrinkToFit="1"/>
    </xf>
    <xf numFmtId="177" fontId="55" fillId="0" borderId="26" xfId="1" applyNumberFormat="1" applyFont="1" applyBorder="1" applyAlignment="1">
      <alignment horizontal="center" vertical="top"/>
    </xf>
    <xf numFmtId="41" fontId="55" fillId="0" borderId="30" xfId="1" applyFont="1" applyBorder="1" applyAlignment="1">
      <alignment horizontal="center" vertical="top"/>
    </xf>
    <xf numFmtId="41" fontId="55" fillId="0" borderId="27" xfId="1" applyFont="1" applyBorder="1" applyAlignment="1">
      <alignment horizontal="center" vertical="top"/>
    </xf>
    <xf numFmtId="41" fontId="55" fillId="0" borderId="28" xfId="1" applyFont="1" applyBorder="1" applyAlignment="1">
      <alignment horizontal="center" vertical="top"/>
    </xf>
    <xf numFmtId="41" fontId="55" fillId="0" borderId="2" xfId="1" applyFont="1" applyBorder="1" applyAlignment="1">
      <alignment horizontal="center" vertical="top"/>
    </xf>
    <xf numFmtId="41" fontId="55" fillId="0" borderId="29" xfId="1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 indent="1" shrinkToFit="1"/>
    </xf>
    <xf numFmtId="0" fontId="23" fillId="0" borderId="19" xfId="0" applyFont="1" applyBorder="1" applyAlignment="1">
      <alignment horizontal="left" vertical="center" indent="1" shrinkToFit="1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1" fillId="0" borderId="1" xfId="0" applyFont="1" applyBorder="1" applyAlignment="1">
      <alignment horizontal="left" vertical="center"/>
    </xf>
    <xf numFmtId="41" fontId="23" fillId="0" borderId="3" xfId="1" applyFont="1" applyBorder="1" applyAlignment="1" applyProtection="1">
      <alignment horizontal="center" vertical="center"/>
    </xf>
    <xf numFmtId="41" fontId="23" fillId="0" borderId="33" xfId="1" applyFont="1" applyBorder="1" applyAlignment="1" applyProtection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31" xfId="0" applyFont="1" applyBorder="1" applyAlignment="1">
      <alignment horizontal="center" vertical="center"/>
    </xf>
    <xf numFmtId="177" fontId="55" fillId="0" borderId="26" xfId="0" applyNumberFormat="1" applyFont="1" applyBorder="1" applyAlignment="1">
      <alignment horizontal="center" vertical="top"/>
    </xf>
    <xf numFmtId="0" fontId="55" fillId="0" borderId="27" xfId="0" applyFont="1" applyBorder="1" applyAlignment="1">
      <alignment horizontal="center" vertical="top"/>
    </xf>
    <xf numFmtId="0" fontId="55" fillId="0" borderId="28" xfId="0" applyFont="1" applyBorder="1" applyAlignment="1">
      <alignment horizontal="center" vertical="top"/>
    </xf>
    <xf numFmtId="0" fontId="55" fillId="0" borderId="29" xfId="0" applyFont="1" applyBorder="1" applyAlignment="1">
      <alignment horizontal="center" vertical="top"/>
    </xf>
    <xf numFmtId="0" fontId="12" fillId="0" borderId="18" xfId="0" applyFont="1" applyBorder="1" applyAlignment="1">
      <alignment horizontal="left" vertical="center" indent="1" shrinkToFit="1"/>
    </xf>
    <xf numFmtId="0" fontId="12" fillId="0" borderId="19" xfId="0" applyFont="1" applyBorder="1" applyAlignment="1">
      <alignment horizontal="left" vertical="center" indent="1" shrinkToFit="1"/>
    </xf>
    <xf numFmtId="177" fontId="12" fillId="0" borderId="19" xfId="1" applyNumberFormat="1" applyFont="1" applyBorder="1" applyAlignment="1" applyProtection="1">
      <alignment horizontal="right" vertical="center" indent="1" shrinkToFit="1"/>
    </xf>
    <xf numFmtId="177" fontId="12" fillId="0" borderId="122" xfId="1" applyNumberFormat="1" applyFont="1" applyBorder="1" applyAlignment="1" applyProtection="1">
      <alignment horizontal="right" vertical="center" indent="1" shrinkToFit="1"/>
    </xf>
    <xf numFmtId="0" fontId="35" fillId="0" borderId="126" xfId="0" applyFont="1" applyBorder="1" applyAlignment="1">
      <alignment horizontal="center" vertical="center"/>
    </xf>
    <xf numFmtId="0" fontId="35" fillId="0" borderId="127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1" fontId="12" fillId="0" borderId="3" xfId="1" applyFont="1" applyBorder="1" applyAlignment="1" applyProtection="1">
      <alignment horizontal="center" vertical="center"/>
    </xf>
    <xf numFmtId="41" fontId="12" fillId="0" borderId="33" xfId="1" applyFont="1" applyBorder="1" applyAlignment="1" applyProtection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177" fontId="60" fillId="0" borderId="26" xfId="0" applyNumberFormat="1" applyFont="1" applyBorder="1" applyAlignment="1">
      <alignment horizontal="center" vertical="top"/>
    </xf>
    <xf numFmtId="0" fontId="60" fillId="0" borderId="27" xfId="0" applyFont="1" applyBorder="1" applyAlignment="1">
      <alignment horizontal="center" vertical="top"/>
    </xf>
    <xf numFmtId="0" fontId="60" fillId="0" borderId="28" xfId="0" applyFont="1" applyBorder="1" applyAlignment="1">
      <alignment horizontal="center" vertical="top"/>
    </xf>
    <xf numFmtId="0" fontId="60" fillId="0" borderId="29" xfId="0" applyFont="1" applyBorder="1" applyAlignment="1">
      <alignment horizontal="center" vertical="top"/>
    </xf>
    <xf numFmtId="177" fontId="60" fillId="0" borderId="26" xfId="1" applyNumberFormat="1" applyFont="1" applyBorder="1" applyAlignment="1" applyProtection="1">
      <alignment horizontal="center" vertical="top"/>
    </xf>
    <xf numFmtId="41" fontId="60" fillId="0" borderId="30" xfId="1" applyFont="1" applyBorder="1" applyAlignment="1" applyProtection="1">
      <alignment horizontal="center" vertical="top"/>
    </xf>
    <xf numFmtId="41" fontId="60" fillId="0" borderId="27" xfId="1" applyFont="1" applyBorder="1" applyAlignment="1" applyProtection="1">
      <alignment horizontal="center" vertical="top"/>
    </xf>
    <xf numFmtId="41" fontId="60" fillId="0" borderId="28" xfId="1" applyFont="1" applyBorder="1" applyAlignment="1" applyProtection="1">
      <alignment horizontal="center" vertical="top"/>
    </xf>
    <xf numFmtId="41" fontId="60" fillId="0" borderId="2" xfId="1" applyFont="1" applyBorder="1" applyAlignment="1" applyProtection="1">
      <alignment horizontal="center" vertical="top"/>
    </xf>
    <xf numFmtId="41" fontId="60" fillId="0" borderId="29" xfId="1" applyFont="1" applyBorder="1" applyAlignment="1" applyProtection="1">
      <alignment horizontal="center" vertical="top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indent="1" shrinkToFit="1"/>
    </xf>
    <xf numFmtId="0" fontId="12" fillId="0" borderId="13" xfId="0" applyFont="1" applyBorder="1" applyAlignment="1">
      <alignment horizontal="left" vertical="center" indent="1" shrinkToFit="1"/>
    </xf>
    <xf numFmtId="177" fontId="12" fillId="0" borderId="24" xfId="1" applyNumberFormat="1" applyFont="1" applyBorder="1" applyAlignment="1" applyProtection="1">
      <alignment horizontal="right" vertical="center" indent="1" shrinkToFit="1"/>
    </xf>
    <xf numFmtId="177" fontId="12" fillId="0" borderId="25" xfId="1" applyNumberFormat="1" applyFont="1" applyBorder="1" applyAlignment="1" applyProtection="1">
      <alignment horizontal="right" vertical="center" indent="1" shrinkToFit="1"/>
    </xf>
    <xf numFmtId="0" fontId="12" fillId="0" borderId="15" xfId="0" applyFont="1" applyBorder="1" applyAlignment="1">
      <alignment horizontal="left" vertical="center" indent="1" shrinkToFit="1"/>
    </xf>
    <xf numFmtId="0" fontId="12" fillId="0" borderId="16" xfId="0" applyFont="1" applyBorder="1" applyAlignment="1">
      <alignment horizontal="left" vertical="center" indent="1" shrinkToFit="1"/>
    </xf>
    <xf numFmtId="177" fontId="12" fillId="0" borderId="31" xfId="1" applyNumberFormat="1" applyFont="1" applyBorder="1" applyAlignment="1" applyProtection="1">
      <alignment horizontal="right" vertical="center" indent="1" shrinkToFit="1"/>
    </xf>
    <xf numFmtId="177" fontId="12" fillId="0" borderId="32" xfId="1" applyNumberFormat="1" applyFont="1" applyBorder="1" applyAlignment="1" applyProtection="1">
      <alignment horizontal="right" vertical="center" indent="1" shrinkToFit="1"/>
    </xf>
    <xf numFmtId="0" fontId="12" fillId="0" borderId="129" xfId="0" applyFont="1" applyBorder="1" applyAlignment="1">
      <alignment horizontal="left" vertical="center" indent="1" shrinkToFit="1"/>
    </xf>
    <xf numFmtId="0" fontId="12" fillId="0" borderId="130" xfId="0" applyFont="1" applyBorder="1" applyAlignment="1">
      <alignment horizontal="left" vertical="center" indent="1" shrinkToFit="1"/>
    </xf>
    <xf numFmtId="0" fontId="12" fillId="0" borderId="31" xfId="0" applyFont="1" applyBorder="1" applyAlignment="1">
      <alignment horizontal="left" vertical="center" indent="1" shrinkToFit="1"/>
    </xf>
    <xf numFmtId="0" fontId="12" fillId="0" borderId="32" xfId="0" applyFont="1" applyBorder="1" applyAlignment="1">
      <alignment horizontal="left" vertical="center" indent="1" shrinkToFit="1"/>
    </xf>
    <xf numFmtId="41" fontId="15" fillId="0" borderId="3" xfId="1" applyFont="1" applyBorder="1" applyAlignment="1" applyProtection="1">
      <alignment horizontal="center" vertical="center"/>
    </xf>
    <xf numFmtId="41" fontId="15" fillId="0" borderId="33" xfId="1" applyFont="1" applyBorder="1" applyAlignment="1" applyProtection="1">
      <alignment horizontal="center" vertical="center"/>
    </xf>
    <xf numFmtId="0" fontId="12" fillId="0" borderId="76" xfId="0" applyFont="1" applyBorder="1" applyAlignment="1">
      <alignment horizontal="center" vertical="center" shrinkToFit="1"/>
    </xf>
    <xf numFmtId="0" fontId="12" fillId="0" borderId="125" xfId="0" applyFont="1" applyBorder="1" applyAlignment="1">
      <alignment horizontal="center" vertical="center" shrinkToFit="1"/>
    </xf>
    <xf numFmtId="177" fontId="12" fillId="0" borderId="3" xfId="1" applyNumberFormat="1" applyFont="1" applyBorder="1" applyAlignment="1" applyProtection="1">
      <alignment horizontal="right" vertical="center" indent="1"/>
    </xf>
    <xf numFmtId="177" fontId="12" fillId="0" borderId="20" xfId="1" applyNumberFormat="1" applyFont="1" applyBorder="1" applyAlignment="1" applyProtection="1">
      <alignment horizontal="right" vertical="center" indent="1"/>
    </xf>
    <xf numFmtId="177" fontId="12" fillId="0" borderId="23" xfId="1" applyNumberFormat="1" applyFont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120" xfId="0" applyFont="1" applyBorder="1" applyAlignment="1">
      <alignment horizontal="left" vertical="center" indent="1" shrinkToFit="1"/>
    </xf>
    <xf numFmtId="177" fontId="12" fillId="0" borderId="16" xfId="1" applyNumberFormat="1" applyFont="1" applyBorder="1" applyAlignment="1" applyProtection="1">
      <alignment horizontal="right" vertical="center" indent="1" shrinkToFit="1"/>
    </xf>
    <xf numFmtId="0" fontId="12" fillId="0" borderId="123" xfId="0" applyFont="1" applyBorder="1" applyAlignment="1">
      <alignment horizontal="left" vertical="center" indent="1" shrinkToFit="1"/>
    </xf>
    <xf numFmtId="0" fontId="12" fillId="0" borderId="135" xfId="0" applyFont="1" applyBorder="1" applyAlignment="1">
      <alignment horizontal="left" vertical="center" indent="1" shrinkToFit="1"/>
    </xf>
    <xf numFmtId="0" fontId="12" fillId="0" borderId="136" xfId="0" applyFont="1" applyBorder="1" applyAlignment="1">
      <alignment horizontal="left" vertical="center" indent="1" shrinkToFit="1"/>
    </xf>
    <xf numFmtId="177" fontId="12" fillId="0" borderId="137" xfId="1" applyNumberFormat="1" applyFont="1" applyBorder="1" applyAlignment="1" applyProtection="1">
      <alignment horizontal="right" vertical="center" indent="1" shrinkToFit="1"/>
    </xf>
    <xf numFmtId="177" fontId="12" fillId="0" borderId="138" xfId="1" applyNumberFormat="1" applyFont="1" applyBorder="1" applyAlignment="1" applyProtection="1">
      <alignment horizontal="right" vertical="center" indent="1" shrinkToFit="1"/>
    </xf>
    <xf numFmtId="41" fontId="35" fillId="0" borderId="94" xfId="1" applyFont="1" applyBorder="1" applyAlignment="1" applyProtection="1">
      <alignment horizontal="center" vertical="center"/>
    </xf>
    <xf numFmtId="177" fontId="35" fillId="0" borderId="94" xfId="0" applyNumberFormat="1" applyFont="1" applyBorder="1" applyAlignment="1">
      <alignment horizontal="center" vertical="center"/>
    </xf>
    <xf numFmtId="0" fontId="35" fillId="0" borderId="69" xfId="0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176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1" fontId="12" fillId="0" borderId="133" xfId="1" applyFont="1" applyBorder="1" applyAlignment="1" applyProtection="1">
      <alignment horizontal="center" vertical="center"/>
    </xf>
    <xf numFmtId="41" fontId="41" fillId="18" borderId="205" xfId="1" applyFont="1" applyFill="1" applyBorder="1" applyAlignment="1">
      <alignment horizontal="center" vertical="center"/>
    </xf>
    <xf numFmtId="41" fontId="41" fillId="18" borderId="206" xfId="1" applyFont="1" applyFill="1" applyBorder="1" applyAlignment="1">
      <alignment horizontal="center" vertical="center"/>
    </xf>
    <xf numFmtId="41" fontId="41" fillId="18" borderId="209" xfId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4" fillId="11" borderId="68" xfId="0" applyFont="1" applyFill="1" applyBorder="1" applyAlignment="1">
      <alignment horizontal="center" vertical="center" wrapText="1"/>
    </xf>
    <xf numFmtId="0" fontId="34" fillId="11" borderId="5" xfId="0" applyFont="1" applyFill="1" applyBorder="1" applyAlignment="1">
      <alignment horizontal="center" vertical="center" wrapText="1"/>
    </xf>
    <xf numFmtId="0" fontId="34" fillId="11" borderId="67" xfId="0" applyFont="1" applyFill="1" applyBorder="1" applyAlignment="1">
      <alignment horizontal="center" vertical="center" wrapText="1"/>
    </xf>
    <xf numFmtId="0" fontId="34" fillId="11" borderId="106" xfId="0" applyFont="1" applyFill="1" applyBorder="1" applyAlignment="1">
      <alignment horizontal="center" vertical="center" wrapText="1"/>
    </xf>
    <xf numFmtId="0" fontId="34" fillId="11" borderId="108" xfId="0" applyFont="1" applyFill="1" applyBorder="1" applyAlignment="1">
      <alignment horizontal="center" vertical="center" wrapText="1"/>
    </xf>
    <xf numFmtId="0" fontId="34" fillId="11" borderId="109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left" vertical="center" wrapText="1" indent="1"/>
    </xf>
    <xf numFmtId="0" fontId="15" fillId="0" borderId="115" xfId="0" applyFont="1" applyBorder="1" applyAlignment="1">
      <alignment horizontal="center" vertical="center"/>
    </xf>
    <xf numFmtId="0" fontId="15" fillId="0" borderId="112" xfId="0" applyFont="1" applyBorder="1" applyAlignment="1">
      <alignment horizontal="center" vertical="center"/>
    </xf>
    <xf numFmtId="0" fontId="15" fillId="0" borderId="113" xfId="0" applyFont="1" applyBorder="1" applyAlignment="1">
      <alignment horizontal="center" vertical="center"/>
    </xf>
    <xf numFmtId="0" fontId="15" fillId="0" borderId="116" xfId="0" applyFont="1" applyBorder="1" applyAlignment="1">
      <alignment horizontal="center" vertical="center" shrinkToFit="1"/>
    </xf>
    <xf numFmtId="0" fontId="15" fillId="0" borderId="117" xfId="0" applyFont="1" applyBorder="1" applyAlignment="1">
      <alignment horizontal="center" vertical="center" shrinkToFit="1"/>
    </xf>
    <xf numFmtId="0" fontId="15" fillId="0" borderId="119" xfId="0" applyFont="1" applyBorder="1" applyAlignment="1">
      <alignment horizontal="center" vertical="center"/>
    </xf>
    <xf numFmtId="0" fontId="15" fillId="0" borderId="116" xfId="0" applyFont="1" applyBorder="1" applyAlignment="1">
      <alignment horizontal="center" vertical="center"/>
    </xf>
    <xf numFmtId="0" fontId="15" fillId="0" borderId="117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13" fillId="0" borderId="113" xfId="0" applyFont="1" applyBorder="1" applyAlignment="1">
      <alignment horizontal="center" vertical="center"/>
    </xf>
    <xf numFmtId="0" fontId="19" fillId="0" borderId="86" xfId="1" applyNumberFormat="1" applyFont="1" applyFill="1" applyBorder="1" applyAlignment="1" applyProtection="1">
      <alignment horizontal="center" vertical="center"/>
    </xf>
    <xf numFmtId="0" fontId="19" fillId="0" borderId="169" xfId="1" applyNumberFormat="1" applyFont="1" applyFill="1" applyBorder="1" applyAlignment="1" applyProtection="1">
      <alignment horizontal="center" vertical="center"/>
    </xf>
    <xf numFmtId="0" fontId="19" fillId="0" borderId="141" xfId="1" applyNumberFormat="1" applyFont="1" applyFill="1" applyBorder="1" applyAlignment="1" applyProtection="1">
      <alignment horizontal="center" vertical="center"/>
    </xf>
    <xf numFmtId="0" fontId="19" fillId="0" borderId="88" xfId="1" applyNumberFormat="1" applyFont="1" applyFill="1" applyBorder="1" applyAlignment="1" applyProtection="1">
      <alignment horizontal="center" vertical="center"/>
    </xf>
    <xf numFmtId="0" fontId="19" fillId="0" borderId="65" xfId="1" applyNumberFormat="1" applyFont="1" applyFill="1" applyBorder="1" applyAlignment="1" applyProtection="1">
      <alignment horizontal="center" vertical="center"/>
    </xf>
    <xf numFmtId="0" fontId="19" fillId="0" borderId="82" xfId="1" applyNumberFormat="1" applyFont="1" applyFill="1" applyBorder="1" applyAlignment="1" applyProtection="1">
      <alignment horizontal="center" vertical="center"/>
    </xf>
    <xf numFmtId="0" fontId="19" fillId="0" borderId="72" xfId="1" applyNumberFormat="1" applyFont="1" applyFill="1" applyBorder="1" applyAlignment="1" applyProtection="1">
      <alignment horizontal="center" vertical="center" wrapText="1"/>
    </xf>
    <xf numFmtId="0" fontId="19" fillId="0" borderId="87" xfId="1" applyNumberFormat="1" applyFont="1" applyFill="1" applyBorder="1" applyAlignment="1" applyProtection="1">
      <alignment horizontal="center" vertical="center" wrapText="1"/>
    </xf>
    <xf numFmtId="0" fontId="19" fillId="9" borderId="153" xfId="1" applyNumberFormat="1" applyFont="1" applyFill="1" applyBorder="1" applyAlignment="1" applyProtection="1">
      <alignment horizontal="center" vertical="center"/>
    </xf>
    <xf numFmtId="0" fontId="19" fillId="9" borderId="21" xfId="1" applyNumberFormat="1" applyFont="1" applyFill="1" applyBorder="1" applyAlignment="1" applyProtection="1">
      <alignment horizontal="center" vertical="center"/>
    </xf>
    <xf numFmtId="0" fontId="19" fillId="9" borderId="22" xfId="1" applyNumberFormat="1" applyFont="1" applyFill="1" applyBorder="1" applyAlignment="1" applyProtection="1">
      <alignment horizontal="center" vertical="center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8" fillId="6" borderId="2" xfId="1" applyNumberFormat="1" applyFont="1" applyFill="1" applyBorder="1" applyAlignment="1" applyProtection="1">
      <alignment vertical="center" shrinkToFit="1"/>
    </xf>
    <xf numFmtId="0" fontId="50" fillId="0" borderId="2" xfId="1" applyNumberFormat="1" applyFont="1" applyFill="1" applyBorder="1" applyAlignment="1" applyProtection="1">
      <alignment horizontal="left" vertical="center"/>
    </xf>
    <xf numFmtId="0" fontId="19" fillId="0" borderId="66" xfId="1" applyNumberFormat="1" applyFont="1" applyFill="1" applyBorder="1" applyAlignment="1" applyProtection="1">
      <alignment horizontal="center" vertical="center" wrapText="1"/>
    </xf>
    <xf numFmtId="0" fontId="19" fillId="0" borderId="37" xfId="1" applyNumberFormat="1" applyFont="1" applyFill="1" applyBorder="1" applyAlignment="1" applyProtection="1">
      <alignment horizontal="center" vertical="center" wrapText="1"/>
    </xf>
    <xf numFmtId="0" fontId="19" fillId="0" borderId="38" xfId="1" applyNumberFormat="1" applyFont="1" applyFill="1" applyBorder="1" applyAlignment="1" applyProtection="1">
      <alignment horizontal="center" vertical="center" wrapText="1"/>
    </xf>
    <xf numFmtId="0" fontId="18" fillId="0" borderId="67" xfId="1" applyNumberFormat="1" applyFont="1" applyFill="1" applyBorder="1" applyAlignment="1" applyProtection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18" fillId="0" borderId="83" xfId="1" applyNumberFormat="1" applyFont="1" applyFill="1" applyBorder="1" applyAlignment="1" applyProtection="1">
      <alignment horizontal="center" vertical="center"/>
    </xf>
    <xf numFmtId="0" fontId="18" fillId="0" borderId="70" xfId="1" applyNumberFormat="1" applyFont="1" applyFill="1" applyBorder="1" applyAlignment="1" applyProtection="1">
      <alignment horizontal="center" vertical="center"/>
    </xf>
    <xf numFmtId="0" fontId="18" fillId="0" borderId="35" xfId="1" applyNumberFormat="1" applyFont="1" applyFill="1" applyBorder="1" applyAlignment="1" applyProtection="1">
      <alignment horizontal="center" vertical="center"/>
    </xf>
    <xf numFmtId="0" fontId="18" fillId="0" borderId="84" xfId="1" applyNumberFormat="1" applyFont="1" applyFill="1" applyBorder="1" applyAlignment="1" applyProtection="1">
      <alignment horizontal="center" vertical="center"/>
    </xf>
    <xf numFmtId="0" fontId="19" fillId="0" borderId="71" xfId="1" applyNumberFormat="1" applyFont="1" applyFill="1" applyBorder="1" applyAlignment="1" applyProtection="1">
      <alignment horizontal="center" vertical="center"/>
    </xf>
    <xf numFmtId="0" fontId="19" fillId="0" borderId="73" xfId="1" applyNumberFormat="1" applyFont="1" applyFill="1" applyBorder="1" applyAlignment="1" applyProtection="1">
      <alignment horizontal="center" vertical="center"/>
    </xf>
    <xf numFmtId="0" fontId="19" fillId="0" borderId="78" xfId="1" applyNumberFormat="1" applyFont="1" applyFill="1" applyBorder="1" applyAlignment="1" applyProtection="1">
      <alignment horizontal="center" vertical="center"/>
    </xf>
    <xf numFmtId="0" fontId="19" fillId="0" borderId="154" xfId="1" applyNumberFormat="1" applyFont="1" applyFill="1" applyBorder="1" applyAlignment="1" applyProtection="1">
      <alignment horizontal="center" vertical="center"/>
    </xf>
    <xf numFmtId="0" fontId="19" fillId="0" borderId="33" xfId="1" applyNumberFormat="1" applyFont="1" applyFill="1" applyBorder="1" applyAlignment="1" applyProtection="1">
      <alignment horizontal="center" vertical="center"/>
    </xf>
    <xf numFmtId="0" fontId="19" fillId="0" borderId="26" xfId="1" applyNumberFormat="1" applyFont="1" applyFill="1" applyBorder="1" applyAlignment="1" applyProtection="1">
      <alignment horizontal="center" vertical="center"/>
    </xf>
    <xf numFmtId="0" fontId="19" fillId="0" borderId="85" xfId="1" applyNumberFormat="1" applyFont="1" applyFill="1" applyBorder="1" applyAlignment="1" applyProtection="1">
      <alignment horizontal="center" vertical="center"/>
    </xf>
    <xf numFmtId="0" fontId="19" fillId="0" borderId="87" xfId="1" applyNumberFormat="1" applyFont="1" applyFill="1" applyBorder="1" applyAlignment="1" applyProtection="1">
      <alignment horizontal="center" vertical="center"/>
    </xf>
    <xf numFmtId="0" fontId="19" fillId="0" borderId="66" xfId="1" applyNumberFormat="1" applyFont="1" applyFill="1" applyBorder="1" applyAlignment="1" applyProtection="1">
      <alignment horizontal="center" vertical="center"/>
    </xf>
    <xf numFmtId="0" fontId="19" fillId="0" borderId="39" xfId="1" applyNumberFormat="1" applyFont="1" applyFill="1" applyBorder="1" applyAlignment="1" applyProtection="1">
      <alignment horizontal="center" vertical="center"/>
    </xf>
    <xf numFmtId="41" fontId="21" fillId="10" borderId="91" xfId="1" applyFont="1" applyFill="1" applyBorder="1" applyAlignment="1" applyProtection="1">
      <alignment vertical="center"/>
    </xf>
    <xf numFmtId="41" fontId="21" fillId="10" borderId="40" xfId="1" applyFont="1" applyFill="1" applyBorder="1" applyAlignment="1" applyProtection="1">
      <alignment vertical="center"/>
    </xf>
    <xf numFmtId="41" fontId="19" fillId="0" borderId="154" xfId="1" applyFont="1" applyFill="1" applyBorder="1" applyAlignment="1" applyProtection="1">
      <alignment horizontal="center" vertical="center"/>
    </xf>
    <xf numFmtId="41" fontId="19" fillId="0" borderId="90" xfId="1" applyFont="1" applyFill="1" applyBorder="1" applyAlignment="1" applyProtection="1">
      <alignment horizontal="center" vertical="center"/>
    </xf>
    <xf numFmtId="41" fontId="19" fillId="0" borderId="33" xfId="1" applyFont="1" applyFill="1" applyBorder="1" applyAlignment="1" applyProtection="1">
      <alignment horizontal="center" vertical="center"/>
    </xf>
    <xf numFmtId="0" fontId="19" fillId="0" borderId="26" xfId="1" applyNumberFormat="1" applyFont="1" applyFill="1" applyBorder="1" applyAlignment="1" applyProtection="1">
      <alignment horizontal="left" vertical="center"/>
    </xf>
    <xf numFmtId="0" fontId="19" fillId="0" borderId="141" xfId="1" applyNumberFormat="1" applyFont="1" applyFill="1" applyBorder="1" applyAlignment="1" applyProtection="1">
      <alignment horizontal="left" vertical="center"/>
    </xf>
    <xf numFmtId="0" fontId="19" fillId="0" borderId="76" xfId="1" applyNumberFormat="1" applyFont="1" applyFill="1" applyBorder="1" applyAlignment="1" applyProtection="1">
      <alignment horizontal="left" vertical="center"/>
    </xf>
    <xf numFmtId="0" fontId="19" fillId="0" borderId="82" xfId="1" applyNumberFormat="1" applyFont="1" applyFill="1" applyBorder="1" applyAlignment="1" applyProtection="1">
      <alignment horizontal="left" vertical="center"/>
    </xf>
    <xf numFmtId="41" fontId="19" fillId="0" borderId="72" xfId="1" applyFont="1" applyFill="1" applyBorder="1" applyAlignment="1" applyProtection="1">
      <alignment horizontal="center" vertical="center"/>
    </xf>
    <xf numFmtId="41" fontId="19" fillId="0" borderId="87" xfId="1" applyFont="1" applyFill="1" applyBorder="1" applyAlignment="1" applyProtection="1">
      <alignment horizontal="center" vertical="center"/>
    </xf>
    <xf numFmtId="0" fontId="19" fillId="0" borderId="176" xfId="1" applyNumberFormat="1" applyFont="1" applyFill="1" applyBorder="1" applyAlignment="1" applyProtection="1">
      <alignment horizontal="center" vertical="center"/>
    </xf>
    <xf numFmtId="0" fontId="19" fillId="0" borderId="174" xfId="1" applyNumberFormat="1" applyFont="1" applyFill="1" applyBorder="1" applyAlignment="1" applyProtection="1">
      <alignment horizontal="center" vertical="center"/>
    </xf>
    <xf numFmtId="0" fontId="19" fillId="0" borderId="173" xfId="1" applyNumberFormat="1" applyFont="1" applyFill="1" applyBorder="1" applyAlignment="1" applyProtection="1">
      <alignment horizontal="center" vertical="center"/>
    </xf>
    <xf numFmtId="41" fontId="21" fillId="10" borderId="92" xfId="1" applyFont="1" applyFill="1" applyBorder="1" applyAlignment="1" applyProtection="1">
      <alignment vertical="center"/>
    </xf>
    <xf numFmtId="41" fontId="21" fillId="10" borderId="74" xfId="1" applyFont="1" applyFill="1" applyBorder="1" applyAlignment="1" applyProtection="1">
      <alignment vertical="center"/>
    </xf>
    <xf numFmtId="0" fontId="19" fillId="0" borderId="77" xfId="1" applyNumberFormat="1" applyFont="1" applyFill="1" applyBorder="1" applyAlignment="1" applyProtection="1">
      <alignment horizontal="center" vertical="center"/>
    </xf>
    <xf numFmtId="0" fontId="19" fillId="0" borderId="93" xfId="1" applyNumberFormat="1" applyFont="1" applyFill="1" applyBorder="1" applyAlignment="1" applyProtection="1">
      <alignment horizontal="center" vertical="center"/>
    </xf>
    <xf numFmtId="0" fontId="19" fillId="0" borderId="91" xfId="1" applyNumberFormat="1" applyFont="1" applyFill="1" applyBorder="1" applyAlignment="1" applyProtection="1">
      <alignment horizontal="center" vertical="center"/>
    </xf>
    <xf numFmtId="0" fontId="19" fillId="0" borderId="75" xfId="1" applyNumberFormat="1" applyFont="1" applyFill="1" applyBorder="1" applyAlignment="1" applyProtection="1">
      <alignment horizontal="center" vertical="center"/>
    </xf>
    <xf numFmtId="0" fontId="19" fillId="0" borderId="29" xfId="1" applyNumberFormat="1" applyFont="1" applyFill="1" applyBorder="1" applyAlignment="1" applyProtection="1">
      <alignment horizontal="center" vertical="center"/>
    </xf>
    <xf numFmtId="0" fontId="19" fillId="0" borderId="40" xfId="1" applyNumberFormat="1" applyFont="1" applyFill="1" applyBorder="1" applyAlignment="1" applyProtection="1">
      <alignment horizontal="center" vertical="center"/>
    </xf>
    <xf numFmtId="41" fontId="21" fillId="10" borderId="80" xfId="1" applyFont="1" applyFill="1" applyBorder="1" applyAlignment="1" applyProtection="1">
      <alignment vertical="center"/>
    </xf>
    <xf numFmtId="41" fontId="21" fillId="10" borderId="28" xfId="1" applyFont="1" applyFill="1" applyBorder="1" applyAlignment="1" applyProtection="1">
      <alignment vertical="center"/>
    </xf>
    <xf numFmtId="41" fontId="19" fillId="0" borderId="85" xfId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horizontal="distributed" vertical="center"/>
    </xf>
    <xf numFmtId="0" fontId="25" fillId="7" borderId="0" xfId="1" applyNumberFormat="1" applyFont="1" applyFill="1" applyBorder="1" applyAlignment="1" applyProtection="1">
      <alignment horizontal="center" vertical="center"/>
      <protection locked="0"/>
    </xf>
    <xf numFmtId="0" fontId="25" fillId="0" borderId="94" xfId="1" applyNumberFormat="1" applyFont="1" applyFill="1" applyBorder="1" applyAlignment="1" applyProtection="1">
      <alignment horizontal="right" vertical="center"/>
    </xf>
    <xf numFmtId="0" fontId="25" fillId="0" borderId="69" xfId="1" applyNumberFormat="1" applyFont="1" applyFill="1" applyBorder="1" applyAlignment="1" applyProtection="1">
      <alignment horizontal="right" vertical="center"/>
    </xf>
    <xf numFmtId="0" fontId="18" fillId="0" borderId="94" xfId="1" applyNumberFormat="1" applyFont="1" applyFill="1" applyBorder="1" applyAlignment="1" applyProtection="1">
      <alignment horizontal="right" vertical="center"/>
    </xf>
    <xf numFmtId="0" fontId="18" fillId="0" borderId="69" xfId="1" applyNumberFormat="1" applyFont="1" applyFill="1" applyBorder="1" applyAlignment="1" applyProtection="1">
      <alignment horizontal="right" vertical="center"/>
    </xf>
    <xf numFmtId="0" fontId="19" fillId="0" borderId="36" xfId="1" applyNumberFormat="1" applyFont="1" applyFill="1" applyBorder="1" applyAlignment="1" applyProtection="1">
      <alignment horizontal="center" vertical="center"/>
    </xf>
    <xf numFmtId="0" fontId="19" fillId="0" borderId="37" xfId="1" applyNumberFormat="1" applyFont="1" applyFill="1" applyBorder="1" applyAlignment="1" applyProtection="1">
      <alignment horizontal="center" vertical="center"/>
    </xf>
    <xf numFmtId="0" fontId="19" fillId="0" borderId="38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horizontal="center" vertical="center"/>
    </xf>
    <xf numFmtId="41" fontId="19" fillId="0" borderId="154" xfId="1" applyFont="1" applyFill="1" applyBorder="1" applyAlignment="1" applyProtection="1">
      <alignment horizontal="left" vertical="center"/>
    </xf>
    <xf numFmtId="41" fontId="19" fillId="0" borderId="90" xfId="1" applyFont="1" applyFill="1" applyBorder="1" applyAlignment="1" applyProtection="1">
      <alignment horizontal="left" vertical="center"/>
    </xf>
    <xf numFmtId="41" fontId="19" fillId="0" borderId="33" xfId="1" applyFont="1" applyFill="1" applyBorder="1" applyAlignment="1" applyProtection="1">
      <alignment horizontal="left" vertical="center"/>
    </xf>
    <xf numFmtId="0" fontId="19" fillId="0" borderId="30" xfId="1" applyNumberFormat="1" applyFont="1" applyFill="1" applyBorder="1" applyAlignment="1" applyProtection="1">
      <alignment horizontal="center" vertical="center"/>
    </xf>
    <xf numFmtId="0" fontId="19" fillId="0" borderId="27" xfId="1" applyNumberFormat="1" applyFont="1" applyFill="1" applyBorder="1" applyAlignment="1" applyProtection="1">
      <alignment horizontal="center" vertical="center"/>
    </xf>
    <xf numFmtId="0" fontId="19" fillId="0" borderId="89" xfId="1" applyNumberFormat="1" applyFont="1" applyFill="1" applyBorder="1" applyAlignment="1" applyProtection="1">
      <alignment horizontal="center" vertical="center"/>
    </xf>
    <xf numFmtId="0" fontId="19" fillId="0" borderId="21" xfId="1" applyNumberFormat="1" applyFont="1" applyFill="1" applyBorder="1" applyAlignment="1" applyProtection="1">
      <alignment horizontal="center" vertical="center"/>
    </xf>
    <xf numFmtId="0" fontId="19" fillId="0" borderId="23" xfId="1" applyNumberFormat="1" applyFont="1" applyFill="1" applyBorder="1" applyAlignment="1" applyProtection="1">
      <alignment horizontal="center" vertical="center"/>
    </xf>
    <xf numFmtId="0" fontId="19" fillId="0" borderId="34" xfId="1" applyNumberFormat="1" applyFont="1" applyFill="1" applyBorder="1" applyAlignment="1" applyProtection="1">
      <alignment horizontal="center" vertical="center"/>
    </xf>
    <xf numFmtId="0" fontId="19" fillId="0" borderId="70" xfId="1" applyNumberFormat="1" applyFont="1" applyFill="1" applyBorder="1" applyAlignment="1" applyProtection="1">
      <alignment horizontal="center" vertical="center"/>
    </xf>
    <xf numFmtId="0" fontId="19" fillId="0" borderId="35" xfId="1" applyNumberFormat="1" applyFont="1" applyFill="1" applyBorder="1" applyAlignment="1" applyProtection="1">
      <alignment horizontal="center" vertical="center"/>
    </xf>
    <xf numFmtId="0" fontId="19" fillId="0" borderId="68" xfId="1" applyNumberFormat="1" applyFont="1" applyFill="1" applyBorder="1" applyAlignment="1" applyProtection="1">
      <alignment horizontal="center" vertical="center"/>
    </xf>
    <xf numFmtId="0" fontId="19" fillId="0" borderId="96" xfId="1" applyNumberFormat="1" applyFont="1" applyFill="1" applyBorder="1" applyAlignment="1" applyProtection="1">
      <alignment horizontal="center" vertic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41" fontId="19" fillId="9" borderId="154" xfId="1" applyFont="1" applyFill="1" applyBorder="1" applyAlignment="1" applyProtection="1">
      <alignment horizontal="center" vertical="center"/>
    </xf>
    <xf numFmtId="41" fontId="19" fillId="9" borderId="90" xfId="1" applyFont="1" applyFill="1" applyBorder="1" applyAlignment="1" applyProtection="1">
      <alignment horizontal="center" vertical="center"/>
    </xf>
    <xf numFmtId="41" fontId="19" fillId="9" borderId="40" xfId="1" applyFont="1" applyFill="1" applyBorder="1" applyAlignment="1" applyProtection="1">
      <alignment horizontal="center" vertical="center"/>
    </xf>
    <xf numFmtId="0" fontId="47" fillId="0" borderId="152" xfId="0" applyFont="1" applyBorder="1" applyAlignment="1">
      <alignment horizontal="left" vertical="center" shrinkToFit="1"/>
    </xf>
    <xf numFmtId="0" fontId="47" fillId="0" borderId="0" xfId="0" applyFont="1" applyAlignment="1">
      <alignment horizontal="left" vertical="center" shrinkToFit="1"/>
    </xf>
    <xf numFmtId="0" fontId="47" fillId="0" borderId="152" xfId="0" applyFont="1" applyBorder="1" applyAlignment="1">
      <alignment horizontal="left" vertical="center" indent="2" shrinkToFit="1"/>
    </xf>
    <xf numFmtId="0" fontId="47" fillId="0" borderId="0" xfId="0" applyFont="1" applyAlignment="1">
      <alignment horizontal="left" vertical="center" indent="2" shrinkToFit="1"/>
    </xf>
    <xf numFmtId="0" fontId="49" fillId="6" borderId="193" xfId="0" applyFont="1" applyFill="1" applyBorder="1" applyAlignment="1">
      <alignment horizontal="center" vertical="center" shrinkToFit="1"/>
    </xf>
    <xf numFmtId="0" fontId="49" fillId="6" borderId="0" xfId="0" applyFont="1" applyFill="1" applyAlignment="1">
      <alignment horizontal="center" vertical="center" shrinkToFit="1"/>
    </xf>
    <xf numFmtId="0" fontId="48" fillId="0" borderId="193" xfId="0" applyFont="1" applyBorder="1" applyAlignment="1">
      <alignment horizontal="left" vertical="center" shrinkToFit="1"/>
    </xf>
    <xf numFmtId="0" fontId="48" fillId="0" borderId="0" xfId="0" applyFont="1" applyAlignment="1">
      <alignment horizontal="left" vertical="center" shrinkToFit="1"/>
    </xf>
    <xf numFmtId="0" fontId="37" fillId="0" borderId="178" xfId="0" applyFont="1" applyFill="1" applyBorder="1" applyAlignment="1" applyProtection="1">
      <alignment horizontal="center" vertical="center" shrinkToFit="1"/>
    </xf>
  </cellXfs>
  <cellStyles count="46">
    <cellStyle name="20% - 강조색6 2" xfId="3" xr:uid="{00000000-0005-0000-0000-000000000000}"/>
    <cellStyle name="40% - 강조색1 2" xfId="4" xr:uid="{00000000-0005-0000-0000-000001000000}"/>
    <cellStyle name="40% - 강조색2 2" xfId="5" xr:uid="{00000000-0005-0000-0000-000002000000}"/>
    <cellStyle name="40% - 강조색3 2" xfId="6" xr:uid="{00000000-0005-0000-0000-000003000000}"/>
    <cellStyle name="40% - 강조색4 2" xfId="7" xr:uid="{00000000-0005-0000-0000-000004000000}"/>
    <cellStyle name="40% - 강조색5 2" xfId="8" xr:uid="{00000000-0005-0000-0000-000005000000}"/>
    <cellStyle name="40% - 강조색6 2" xfId="9" xr:uid="{00000000-0005-0000-0000-000006000000}"/>
    <cellStyle name="60% - 강조색1 2" xfId="10" xr:uid="{00000000-0005-0000-0000-000007000000}"/>
    <cellStyle name="60% - 강조색2 2" xfId="11" xr:uid="{00000000-0005-0000-0000-000008000000}"/>
    <cellStyle name="60% - 강조색3 2" xfId="12" xr:uid="{00000000-0005-0000-0000-000009000000}"/>
    <cellStyle name="60% - 강조색4 2" xfId="13" xr:uid="{00000000-0005-0000-0000-00000A000000}"/>
    <cellStyle name="60% - 강조색5 2" xfId="14" xr:uid="{00000000-0005-0000-0000-00000B000000}"/>
    <cellStyle name="60% - 강조색6 2" xfId="15" xr:uid="{00000000-0005-0000-0000-00000C000000}"/>
    <cellStyle name="강조색1 2" xfId="16" xr:uid="{00000000-0005-0000-0000-00000D000000}"/>
    <cellStyle name="강조색2 2" xfId="17" xr:uid="{00000000-0005-0000-0000-00000E000000}"/>
    <cellStyle name="강조색3 2" xfId="18" xr:uid="{00000000-0005-0000-0000-00000F000000}"/>
    <cellStyle name="강조색4 2" xfId="19" xr:uid="{00000000-0005-0000-0000-000010000000}"/>
    <cellStyle name="강조색5 2" xfId="20" xr:uid="{00000000-0005-0000-0000-000011000000}"/>
    <cellStyle name="강조색6 2" xfId="21" xr:uid="{00000000-0005-0000-0000-000012000000}"/>
    <cellStyle name="경고문 2" xfId="22" xr:uid="{00000000-0005-0000-0000-000013000000}"/>
    <cellStyle name="계산 2" xfId="23" xr:uid="{00000000-0005-0000-0000-000014000000}"/>
    <cellStyle name="나쁨 2" xfId="24" xr:uid="{00000000-0005-0000-0000-000015000000}"/>
    <cellStyle name="메모 2" xfId="25" xr:uid="{00000000-0005-0000-0000-000016000000}"/>
    <cellStyle name="보통 2" xfId="26" xr:uid="{00000000-0005-0000-0000-000017000000}"/>
    <cellStyle name="설명 텍스트 2" xfId="27" xr:uid="{00000000-0005-0000-0000-000018000000}"/>
    <cellStyle name="셀 확인 2" xfId="28" xr:uid="{00000000-0005-0000-0000-000019000000}"/>
    <cellStyle name="쉼표 [0]" xfId="1" builtinId="6"/>
    <cellStyle name="쉼표 [0] 2" xfId="29" xr:uid="{00000000-0005-0000-0000-00001B000000}"/>
    <cellStyle name="쉼표 [0] 2 2" xfId="44" xr:uid="{DDC48FC4-B9C8-40A6-AAE4-6E9A73FFC6DC}"/>
    <cellStyle name="쉼표 [0] 3" xfId="30" xr:uid="{00000000-0005-0000-0000-00001C000000}"/>
    <cellStyle name="연결된 셀 2" xfId="31" xr:uid="{00000000-0005-0000-0000-00001D000000}"/>
    <cellStyle name="요약 2" xfId="32" xr:uid="{00000000-0005-0000-0000-00001E000000}"/>
    <cellStyle name="입력 2" xfId="33" xr:uid="{00000000-0005-0000-0000-00001F000000}"/>
    <cellStyle name="제목 1 2" xfId="34" xr:uid="{00000000-0005-0000-0000-000020000000}"/>
    <cellStyle name="제목 2 2" xfId="35" xr:uid="{00000000-0005-0000-0000-000021000000}"/>
    <cellStyle name="제목 3 2" xfId="36" xr:uid="{00000000-0005-0000-0000-000022000000}"/>
    <cellStyle name="제목 4 2" xfId="37" xr:uid="{00000000-0005-0000-0000-000023000000}"/>
    <cellStyle name="제목 5" xfId="38" xr:uid="{00000000-0005-0000-0000-000024000000}"/>
    <cellStyle name="좋음 2" xfId="39" xr:uid="{00000000-0005-0000-0000-000025000000}"/>
    <cellStyle name="출력 2" xfId="40" xr:uid="{00000000-0005-0000-0000-000026000000}"/>
    <cellStyle name="통화 [0]" xfId="43" builtinId="7"/>
    <cellStyle name="표준" xfId="0" builtinId="0"/>
    <cellStyle name="표준 2" xfId="2" xr:uid="{00000000-0005-0000-0000-000029000000}"/>
    <cellStyle name="표준 3" xfId="41" xr:uid="{00000000-0005-0000-0000-00002A000000}"/>
    <cellStyle name="표준 4" xfId="42" xr:uid="{00000000-0005-0000-0000-00002B000000}"/>
    <cellStyle name="하이퍼링크" xfId="45" builtinId="8"/>
  </cellStyles>
  <dxfs count="48">
    <dxf>
      <font>
        <b val="0"/>
        <i val="0"/>
      </font>
      <fill>
        <patternFill patternType="gray0625">
          <fgColor theme="9" tint="0.79998168889431442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 patternType="gray0625">
          <fgColor theme="0"/>
          <bgColor theme="1"/>
        </patternFill>
      </fill>
    </dxf>
    <dxf>
      <font>
        <b/>
        <i val="0"/>
      </font>
      <fill>
        <patternFill patternType="gray0625"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 patternType="gray0625">
          <fgColor theme="0"/>
          <bgColor theme="1"/>
        </patternFill>
      </fill>
    </dxf>
    <dxf>
      <font>
        <b/>
        <i val="0"/>
      </font>
      <fill>
        <patternFill patternType="gray0625">
          <fgColor theme="0"/>
          <bgColor rgb="FF000000"/>
        </patternFill>
      </fill>
    </dxf>
    <dxf>
      <fill>
        <patternFill patternType="gray0625">
          <fgColor theme="0"/>
          <bgColor theme="1" tint="4.9989318521683403E-2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 patternType="gray0625">
          <fgColor theme="0"/>
          <bgColor theme="1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ont>
        <b/>
        <i val="0"/>
        <strike val="0"/>
        <color rgb="FFFFFF00"/>
      </font>
      <fill>
        <patternFill patternType="gray0625">
          <fgColor theme="0"/>
          <bgColor theme="1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theme="1" tint="4.9989318521683403E-2"/>
        </patternFill>
      </fill>
      <border>
        <left/>
        <right/>
        <top/>
        <bottom/>
      </border>
    </dxf>
    <dxf>
      <fill>
        <patternFill>
          <bgColor theme="1" tint="4.9989318521683403E-2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1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80" formatCode="m&quot;/&quot;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3" tint="0.39994506668294322"/>
        </top>
        <bottom/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ill>
        <patternFill>
          <bgColor theme="9" tint="-0.24994659260841701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FFCC"/>
      <color rgb="FF0000FF"/>
      <color rgb="FFFFFF99"/>
      <color rgb="FF000000"/>
      <color rgb="FFFF7C80"/>
      <color rgb="FFDDDDDD"/>
      <color rgb="FFFFFF66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343647</xdr:colOff>
      <xdr:row>3</xdr:row>
      <xdr:rowOff>15687</xdr:rowOff>
    </xdr:from>
    <xdr:to>
      <xdr:col>21</xdr:col>
      <xdr:colOff>47065</xdr:colOff>
      <xdr:row>11</xdr:row>
      <xdr:rowOff>201706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23C3EC37-D13A-4B63-804D-7233C5E70424}"/>
            </a:ext>
          </a:extLst>
        </xdr:cNvPr>
        <xdr:cNvSpPr/>
      </xdr:nvSpPr>
      <xdr:spPr>
        <a:xfrm>
          <a:off x="7373471" y="1054099"/>
          <a:ext cx="6718300" cy="2755901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수입 및 지출결의서를 따로 만들지 마세요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기본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는 자동으로 만들어니까 그냥 출력만 하시면 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회계장부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에서 먼저 수입 내역이나 지출 내역을 입력하신 후 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기본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에서는 해당 일자만 변경하시면 자동으로 결의서가 만들어집니다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동일한 날짜에 지출내역이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17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초과하거나 수입내역이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11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초과하면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추가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 표시됩니다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날짜를 입력하실 때는 간단하게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/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일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형태로 입력하세요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예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5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월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12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일인 경우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5/12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입력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날짜를 변경하시고 출력하시면 끝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~~~~~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343647</xdr:colOff>
      <xdr:row>2</xdr:row>
      <xdr:rowOff>44824</xdr:rowOff>
    </xdr:from>
    <xdr:to>
      <xdr:col>21</xdr:col>
      <xdr:colOff>47065</xdr:colOff>
      <xdr:row>3</xdr:row>
      <xdr:rowOff>15688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4B6E16F4-E20B-4856-95FF-CFA7F82973B6}"/>
            </a:ext>
          </a:extLst>
        </xdr:cNvPr>
        <xdr:cNvSpPr/>
      </xdr:nvSpPr>
      <xdr:spPr>
        <a:xfrm>
          <a:off x="7373471" y="762000"/>
          <a:ext cx="67183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69103</xdr:colOff>
      <xdr:row>2</xdr:row>
      <xdr:rowOff>70224</xdr:rowOff>
    </xdr:from>
    <xdr:to>
      <xdr:col>21</xdr:col>
      <xdr:colOff>2615</xdr:colOff>
      <xdr:row>2</xdr:row>
      <xdr:rowOff>298824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3E84B6A2-2509-46DC-836D-78EE0CC93578}"/>
            </a:ext>
          </a:extLst>
        </xdr:cNvPr>
        <xdr:cNvSpPr/>
      </xdr:nvSpPr>
      <xdr:spPr>
        <a:xfrm>
          <a:off x="12739221" y="787400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268941</xdr:colOff>
      <xdr:row>3</xdr:row>
      <xdr:rowOff>299570</xdr:rowOff>
    </xdr:from>
    <xdr:to>
      <xdr:col>21</xdr:col>
      <xdr:colOff>659653</xdr:colOff>
      <xdr:row>7</xdr:row>
      <xdr:rowOff>201705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3F4EABAA-095F-412B-80B3-C444E4E67235}"/>
            </a:ext>
          </a:extLst>
        </xdr:cNvPr>
        <xdr:cNvSpPr/>
      </xdr:nvSpPr>
      <xdr:spPr>
        <a:xfrm>
          <a:off x="7298765" y="1337982"/>
          <a:ext cx="6718300" cy="1187076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동일한 날짜에 지출내역이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17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초과하거나 수입내역이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11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초과하면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추가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 내용이 표시됩니다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그 외의 경우에는 검은색으로 표시되어 사용하지 않습니다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268941</xdr:colOff>
      <xdr:row>3</xdr:row>
      <xdr:rowOff>7470</xdr:rowOff>
    </xdr:from>
    <xdr:to>
      <xdr:col>21</xdr:col>
      <xdr:colOff>659653</xdr:colOff>
      <xdr:row>3</xdr:row>
      <xdr:rowOff>299570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CBD64A3C-644A-4E8A-9119-ABD876CFCCB7}"/>
            </a:ext>
          </a:extLst>
        </xdr:cNvPr>
        <xdr:cNvSpPr/>
      </xdr:nvSpPr>
      <xdr:spPr>
        <a:xfrm>
          <a:off x="7298765" y="1045882"/>
          <a:ext cx="67183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681691</xdr:colOff>
      <xdr:row>3</xdr:row>
      <xdr:rowOff>32870</xdr:rowOff>
    </xdr:from>
    <xdr:to>
      <xdr:col>21</xdr:col>
      <xdr:colOff>615203</xdr:colOff>
      <xdr:row>3</xdr:row>
      <xdr:rowOff>261470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2918AE43-620B-461F-8CA2-F039692A7B05}"/>
            </a:ext>
          </a:extLst>
        </xdr:cNvPr>
        <xdr:cNvSpPr/>
      </xdr:nvSpPr>
      <xdr:spPr>
        <a:xfrm>
          <a:off x="12664515" y="1071282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171450</xdr:rowOff>
    </xdr:from>
    <xdr:to>
      <xdr:col>6</xdr:col>
      <xdr:colOff>38100</xdr:colOff>
      <xdr:row>20</xdr:row>
      <xdr:rowOff>292100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6A28F7E6-7067-4A9F-8347-AA6B686947E2}"/>
            </a:ext>
          </a:extLst>
        </xdr:cNvPr>
        <xdr:cNvSpPr/>
      </xdr:nvSpPr>
      <xdr:spPr>
        <a:xfrm>
          <a:off x="152400" y="4933950"/>
          <a:ext cx="6508750" cy="1708150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수기로 회계장부나 금전출납부 등을 작성하실 때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매월 기장이 끝나면 월합계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연간합계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누계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를 추가로 기장하시고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다음 장으로 이월하셔야 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이때 월합계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연간합계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잔액을 계산하여야 하는데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로 확인하시고 그대로 기장하시면 편리합니다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계산기가 필요 없어요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^^)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152400</xdr:colOff>
      <xdr:row>14</xdr:row>
      <xdr:rowOff>196850</xdr:rowOff>
    </xdr:from>
    <xdr:to>
      <xdr:col>6</xdr:col>
      <xdr:colOff>38100</xdr:colOff>
      <xdr:row>15</xdr:row>
      <xdr:rowOff>171450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10C67ABE-4E62-45A9-B881-D29B1F0663C3}"/>
            </a:ext>
          </a:extLst>
        </xdr:cNvPr>
        <xdr:cNvSpPr/>
      </xdr:nvSpPr>
      <xdr:spPr>
        <a:xfrm>
          <a:off x="152400" y="4641850"/>
          <a:ext cx="650875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1073150</xdr:colOff>
      <xdr:row>14</xdr:row>
      <xdr:rowOff>222250</xdr:rowOff>
    </xdr:from>
    <xdr:to>
      <xdr:col>6</xdr:col>
      <xdr:colOff>6350</xdr:colOff>
      <xdr:row>15</xdr:row>
      <xdr:rowOff>133350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581D3189-06C3-437E-A4A8-A180D4BBD53D}"/>
            </a:ext>
          </a:extLst>
        </xdr:cNvPr>
        <xdr:cNvSpPr/>
      </xdr:nvSpPr>
      <xdr:spPr>
        <a:xfrm>
          <a:off x="5321300" y="4667250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6</xdr:row>
      <xdr:rowOff>146050</xdr:rowOff>
    </xdr:from>
    <xdr:to>
      <xdr:col>15</xdr:col>
      <xdr:colOff>311150</xdr:colOff>
      <xdr:row>11</xdr:row>
      <xdr:rowOff>63500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16F865C-A6FA-45FD-8791-E09DA18E4129}"/>
            </a:ext>
          </a:extLst>
        </xdr:cNvPr>
        <xdr:cNvSpPr/>
      </xdr:nvSpPr>
      <xdr:spPr>
        <a:xfrm>
          <a:off x="9918700" y="1600200"/>
          <a:ext cx="4673600" cy="1060450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&lt;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회계코드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&gt; 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를 먼저 정리하시고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&lt;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회계보고서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&gt; 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의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시작일자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와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종료일자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만 넣으시면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 회계보고서가 자동으로 완성됩니다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19050</xdr:colOff>
      <xdr:row>5</xdr:row>
      <xdr:rowOff>82550</xdr:rowOff>
    </xdr:from>
    <xdr:to>
      <xdr:col>15</xdr:col>
      <xdr:colOff>317500</xdr:colOff>
      <xdr:row>6</xdr:row>
      <xdr:rowOff>146050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D0358FA2-6995-4413-A9E1-3A7D73795CF1}"/>
            </a:ext>
          </a:extLst>
        </xdr:cNvPr>
        <xdr:cNvSpPr/>
      </xdr:nvSpPr>
      <xdr:spPr>
        <a:xfrm>
          <a:off x="9918700" y="1308100"/>
          <a:ext cx="467995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336550</xdr:colOff>
      <xdr:row>5</xdr:row>
      <xdr:rowOff>120650</xdr:rowOff>
    </xdr:from>
    <xdr:to>
      <xdr:col>15</xdr:col>
      <xdr:colOff>273050</xdr:colOff>
      <xdr:row>6</xdr:row>
      <xdr:rowOff>120650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D241E3FA-4D86-4C36-A58A-27CA5D4F8895}"/>
            </a:ext>
          </a:extLst>
        </xdr:cNvPr>
        <xdr:cNvSpPr/>
      </xdr:nvSpPr>
      <xdr:spPr>
        <a:xfrm>
          <a:off x="13246100" y="1346200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330040</xdr:colOff>
      <xdr:row>18</xdr:row>
      <xdr:rowOff>76170</xdr:rowOff>
    </xdr:from>
    <xdr:to>
      <xdr:col>4</xdr:col>
      <xdr:colOff>330400</xdr:colOff>
      <xdr:row>18</xdr:row>
      <xdr:rowOff>76530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601D294A-8957-4FF3-BCB3-1E7250338636}"/>
                </a:ext>
              </a:extLst>
            </xdr14:cNvPr>
            <xdr14:cNvContentPartPr/>
          </xdr14:nvContentPartPr>
          <xdr14:nvPr macro=""/>
          <xdr14:xfrm>
            <a:off x="4775040" y="4324320"/>
            <a:ext cx="360" cy="360"/>
          </xdr14:xfrm>
        </xdr:contentPart>
      </mc:Choice>
      <mc:Fallback xmlns=""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601D294A-8957-4FF3-BCB3-1E725033863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66040" y="4315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584060</xdr:colOff>
      <xdr:row>13</xdr:row>
      <xdr:rowOff>18930</xdr:rowOff>
    </xdr:from>
    <xdr:to>
      <xdr:col>2</xdr:col>
      <xdr:colOff>584420</xdr:colOff>
      <xdr:row>13</xdr:row>
      <xdr:rowOff>19290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잉크 7">
              <a:extLst>
                <a:ext uri="{FF2B5EF4-FFF2-40B4-BE49-F238E27FC236}">
                  <a16:creationId xmlns:a16="http://schemas.microsoft.com/office/drawing/2014/main" id="{D941A795-F184-4860-A8F7-0CF3D9F4600D}"/>
                </a:ext>
              </a:extLst>
            </xdr14:cNvPr>
            <xdr14:cNvContentPartPr/>
          </xdr14:nvContentPartPr>
          <xdr14:nvPr macro=""/>
          <xdr14:xfrm>
            <a:off x="2806560" y="3124080"/>
            <a:ext cx="360" cy="360"/>
          </xdr14:xfrm>
        </xdr:contentPart>
      </mc:Choice>
      <mc:Fallback xmlns="">
        <xdr:pic>
          <xdr:nvPicPr>
            <xdr:cNvPr id="8" name="잉크 7">
              <a:extLst>
                <a:ext uri="{FF2B5EF4-FFF2-40B4-BE49-F238E27FC236}">
                  <a16:creationId xmlns:a16="http://schemas.microsoft.com/office/drawing/2014/main" id="{D941A795-F184-4860-A8F7-0CF3D9F4600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797560" y="3115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31670</xdr:colOff>
      <xdr:row>9</xdr:row>
      <xdr:rowOff>196770</xdr:rowOff>
    </xdr:from>
    <xdr:to>
      <xdr:col>5</xdr:col>
      <xdr:colOff>32030</xdr:colOff>
      <xdr:row>9</xdr:row>
      <xdr:rowOff>197130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9" name="잉크 8">
              <a:extLst>
                <a:ext uri="{FF2B5EF4-FFF2-40B4-BE49-F238E27FC236}">
                  <a16:creationId xmlns:a16="http://schemas.microsoft.com/office/drawing/2014/main" id="{76B19930-CB4F-462F-9B61-A407680B83DB}"/>
                </a:ext>
              </a:extLst>
            </xdr14:cNvPr>
            <xdr14:cNvContentPartPr/>
          </xdr14:nvContentPartPr>
          <xdr14:nvPr macro=""/>
          <xdr14:xfrm>
            <a:off x="5587920" y="2387520"/>
            <a:ext cx="360" cy="360"/>
          </xdr14:xfrm>
        </xdr:contentPart>
      </mc:Choice>
      <mc:Fallback xmlns="">
        <xdr:pic>
          <xdr:nvPicPr>
            <xdr:cNvPr id="9" name="잉크 8">
              <a:extLst>
                <a:ext uri="{FF2B5EF4-FFF2-40B4-BE49-F238E27FC236}">
                  <a16:creationId xmlns:a16="http://schemas.microsoft.com/office/drawing/2014/main" id="{76B19930-CB4F-462F-9B61-A407680B83D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578920" y="23785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933330</xdr:colOff>
      <xdr:row>20</xdr:row>
      <xdr:rowOff>120450</xdr:rowOff>
    </xdr:from>
    <xdr:to>
      <xdr:col>3</xdr:col>
      <xdr:colOff>933690</xdr:colOff>
      <xdr:row>20</xdr:row>
      <xdr:rowOff>120810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잉크 9">
              <a:extLst>
                <a:ext uri="{FF2B5EF4-FFF2-40B4-BE49-F238E27FC236}">
                  <a16:creationId xmlns:a16="http://schemas.microsoft.com/office/drawing/2014/main" id="{E288433D-3D6C-4491-855A-14F77D75263C}"/>
                </a:ext>
              </a:extLst>
            </xdr14:cNvPr>
            <xdr14:cNvContentPartPr/>
          </xdr14:nvContentPartPr>
          <xdr14:nvPr macro=""/>
          <xdr14:xfrm>
            <a:off x="4267080" y="4825800"/>
            <a:ext cx="360" cy="360"/>
          </xdr14:xfrm>
        </xdr:contentPart>
      </mc:Choice>
      <mc:Fallback xmlns="">
        <xdr:pic>
          <xdr:nvPicPr>
            <xdr:cNvPr id="10" name="잉크 9">
              <a:extLst>
                <a:ext uri="{FF2B5EF4-FFF2-40B4-BE49-F238E27FC236}">
                  <a16:creationId xmlns:a16="http://schemas.microsoft.com/office/drawing/2014/main" id="{E288433D-3D6C-4491-855A-14F77D75263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58080" y="4816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876380</xdr:colOff>
      <xdr:row>15</xdr:row>
      <xdr:rowOff>222330</xdr:rowOff>
    </xdr:from>
    <xdr:to>
      <xdr:col>2</xdr:col>
      <xdr:colOff>876740</xdr:colOff>
      <xdr:row>15</xdr:row>
      <xdr:rowOff>222690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1" name="잉크 10">
              <a:extLst>
                <a:ext uri="{FF2B5EF4-FFF2-40B4-BE49-F238E27FC236}">
                  <a16:creationId xmlns:a16="http://schemas.microsoft.com/office/drawing/2014/main" id="{FF552DC3-25BA-4B03-B6B1-74AFD61A942A}"/>
                </a:ext>
              </a:extLst>
            </xdr14:cNvPr>
            <xdr14:cNvContentPartPr/>
          </xdr14:nvContentPartPr>
          <xdr14:nvPr macro=""/>
          <xdr14:xfrm>
            <a:off x="3098880" y="3784680"/>
            <a:ext cx="360" cy="360"/>
          </xdr14:xfrm>
        </xdr:contentPart>
      </mc:Choice>
      <mc:Fallback xmlns="">
        <xdr:pic>
          <xdr:nvPicPr>
            <xdr:cNvPr id="11" name="잉크 10">
              <a:extLst>
                <a:ext uri="{FF2B5EF4-FFF2-40B4-BE49-F238E27FC236}">
                  <a16:creationId xmlns:a16="http://schemas.microsoft.com/office/drawing/2014/main" id="{FF552DC3-25BA-4B03-B6B1-74AFD61A942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089880" y="37756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158530</xdr:colOff>
      <xdr:row>6</xdr:row>
      <xdr:rowOff>196770</xdr:rowOff>
    </xdr:from>
    <xdr:to>
      <xdr:col>7</xdr:col>
      <xdr:colOff>158890</xdr:colOff>
      <xdr:row>6</xdr:row>
      <xdr:rowOff>197130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2" name="잉크 11">
              <a:extLst>
                <a:ext uri="{FF2B5EF4-FFF2-40B4-BE49-F238E27FC236}">
                  <a16:creationId xmlns:a16="http://schemas.microsoft.com/office/drawing/2014/main" id="{D8606F2F-B457-4A36-A625-B92CB4E7C3A6}"/>
                </a:ext>
              </a:extLst>
            </xdr14:cNvPr>
            <xdr14:cNvContentPartPr/>
          </xdr14:nvContentPartPr>
          <xdr14:nvPr macro=""/>
          <xdr14:xfrm>
            <a:off x="7937280" y="1701720"/>
            <a:ext cx="360" cy="360"/>
          </xdr14:xfrm>
        </xdr:contentPart>
      </mc:Choice>
      <mc:Fallback xmlns="">
        <xdr:pic>
          <xdr:nvPicPr>
            <xdr:cNvPr id="12" name="잉크 11">
              <a:extLst>
                <a:ext uri="{FF2B5EF4-FFF2-40B4-BE49-F238E27FC236}">
                  <a16:creationId xmlns:a16="http://schemas.microsoft.com/office/drawing/2014/main" id="{D8606F2F-B457-4A36-A625-B92CB4E7C3A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928280" y="16927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95250</xdr:colOff>
      <xdr:row>20</xdr:row>
      <xdr:rowOff>133350</xdr:rowOff>
    </xdr:from>
    <xdr:to>
      <xdr:col>1</xdr:col>
      <xdr:colOff>1016000</xdr:colOff>
      <xdr:row>24</xdr:row>
      <xdr:rowOff>139700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6D8C1AD1-96B2-418C-B7DC-4B6402D5A4B1}"/>
            </a:ext>
          </a:extLst>
        </xdr:cNvPr>
        <xdr:cNvSpPr/>
      </xdr:nvSpPr>
      <xdr:spPr>
        <a:xfrm>
          <a:off x="95250" y="4838700"/>
          <a:ext cx="2032000" cy="920750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수입항목 중에서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회색 영역은 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고정값으로 수정 불가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95250</xdr:colOff>
      <xdr:row>19</xdr:row>
      <xdr:rowOff>69850</xdr:rowOff>
    </xdr:from>
    <xdr:to>
      <xdr:col>1</xdr:col>
      <xdr:colOff>1016000</xdr:colOff>
      <xdr:row>20</xdr:row>
      <xdr:rowOff>133350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7981486E-3E69-4BB2-81B8-559CFD46723E}"/>
            </a:ext>
          </a:extLst>
        </xdr:cNvPr>
        <xdr:cNvSpPr/>
      </xdr:nvSpPr>
      <xdr:spPr>
        <a:xfrm>
          <a:off x="95250" y="4546600"/>
          <a:ext cx="20320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1035050</xdr:colOff>
      <xdr:row>19</xdr:row>
      <xdr:rowOff>88900</xdr:rowOff>
    </xdr:from>
    <xdr:to>
      <xdr:col>1</xdr:col>
      <xdr:colOff>1003300</xdr:colOff>
      <xdr:row>20</xdr:row>
      <xdr:rowOff>101600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F37B930A-3EAD-45B7-84B5-D94F797DE746}"/>
            </a:ext>
          </a:extLst>
        </xdr:cNvPr>
        <xdr:cNvSpPr/>
      </xdr:nvSpPr>
      <xdr:spPr>
        <a:xfrm>
          <a:off x="1035050" y="4565650"/>
          <a:ext cx="1079500" cy="2413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ssion_01/Downloads/2020&#45380;%20&#54924;&#44228;&#51109;&#48512;-2020.0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회계장부"/>
      <sheetName val="결의서"/>
      <sheetName val="월별누계"/>
      <sheetName val="회계보고"/>
      <sheetName val="2020 예산서"/>
      <sheetName val="검산서(상반기)"/>
      <sheetName val="검산서(하반기)"/>
      <sheetName val="회계코드"/>
      <sheetName val="회계보고서(삭제용)"/>
      <sheetName val="통장잔고"/>
      <sheetName val="장부대조"/>
      <sheetName val="회계보고+"/>
      <sheetName val="지출규정"/>
      <sheetName val="코드"/>
      <sheetName val="비고"/>
      <sheetName val="구검산+"/>
      <sheetName val="구검산-"/>
      <sheetName val="한국"/>
      <sheetName val="비품"/>
      <sheetName val="단기"/>
      <sheetName val="성탄"/>
      <sheetName val="검산+"/>
      <sheetName val="검산-"/>
      <sheetName val="목적"/>
      <sheetName val="교통비"/>
      <sheetName val="월별"/>
      <sheetName val="선교비15"/>
      <sheetName val="기도지"/>
      <sheetName val="기초"/>
    </sheetNames>
    <sheetDataSet>
      <sheetData sheetId="0" refreshError="1">
        <row r="1">
          <cell r="A1" t="str">
            <v>일  자</v>
          </cell>
          <cell r="J1" t="str">
            <v>항목</v>
          </cell>
        </row>
        <row r="2">
          <cell r="A2">
            <v>43466</v>
          </cell>
          <cell r="J2" t="str">
            <v>전년도이월금(A0)</v>
          </cell>
        </row>
        <row r="3">
          <cell r="A3">
            <v>43835</v>
          </cell>
          <cell r="J3" t="str">
            <v>세미나 행사비(F1)</v>
          </cell>
        </row>
        <row r="4">
          <cell r="A4">
            <v>43835</v>
          </cell>
          <cell r="J4" t="str">
            <v>행정사무비(L1)</v>
          </cell>
        </row>
        <row r="5">
          <cell r="A5">
            <v>43835</v>
          </cell>
          <cell r="J5" t="str">
            <v>행정사무비(L1)</v>
          </cell>
        </row>
        <row r="6">
          <cell r="A6">
            <v>43835</v>
          </cell>
          <cell r="J6" t="str">
            <v>선교사 교통비(D3)</v>
          </cell>
        </row>
        <row r="7">
          <cell r="A7">
            <v>43835</v>
          </cell>
          <cell r="J7" t="str">
            <v>선교사 교통비(D3)</v>
          </cell>
        </row>
        <row r="8">
          <cell r="A8">
            <v>43835</v>
          </cell>
          <cell r="J8" t="str">
            <v>작정헌금(A1)</v>
          </cell>
        </row>
        <row r="9">
          <cell r="A9">
            <v>43842</v>
          </cell>
          <cell r="J9" t="str">
            <v>선교위원 워크샵 및 답사비(E3)</v>
          </cell>
        </row>
        <row r="10">
          <cell r="A10">
            <v>43842</v>
          </cell>
          <cell r="J10" t="str">
            <v>선교위원 워크샵 및 답사비(E3)</v>
          </cell>
        </row>
        <row r="11">
          <cell r="A11">
            <v>43842</v>
          </cell>
          <cell r="J11" t="str">
            <v>선교위원 워크샵 및 답사비(E3)</v>
          </cell>
        </row>
        <row r="12">
          <cell r="A12">
            <v>43842</v>
          </cell>
          <cell r="J12" t="str">
            <v>선교위원 워크샵 및 답사비(E3)</v>
          </cell>
        </row>
        <row r="13">
          <cell r="A13">
            <v>43842</v>
          </cell>
          <cell r="J13" t="str">
            <v>작정헌금(A1)</v>
          </cell>
        </row>
        <row r="14">
          <cell r="A14">
            <v>43842</v>
          </cell>
          <cell r="J14" t="str">
            <v>선교학교 지원비(E2)</v>
          </cell>
        </row>
        <row r="15">
          <cell r="A15">
            <v>43842</v>
          </cell>
          <cell r="J15" t="str">
            <v>성탄카드및 선물보내기 우송료(G2)</v>
          </cell>
        </row>
        <row r="16">
          <cell r="A16">
            <v>43842</v>
          </cell>
          <cell r="J16" t="str">
            <v>목적선교비(C1)</v>
          </cell>
        </row>
        <row r="17">
          <cell r="A17">
            <v>43842</v>
          </cell>
          <cell r="J17" t="str">
            <v>세미나 행사비(F1)</v>
          </cell>
        </row>
        <row r="18">
          <cell r="A18">
            <v>43842</v>
          </cell>
          <cell r="J18" t="str">
            <v>목적선교비(C1)</v>
          </cell>
        </row>
        <row r="19">
          <cell r="A19">
            <v>43849</v>
          </cell>
          <cell r="J19" t="str">
            <v>협력선교협력,기관(85명)(B2)</v>
          </cell>
        </row>
        <row r="20">
          <cell r="A20">
            <v>43849</v>
          </cell>
          <cell r="J20" t="str">
            <v>협력선교협력,기관(85명)(B2)</v>
          </cell>
        </row>
        <row r="21">
          <cell r="A21">
            <v>43849</v>
          </cell>
          <cell r="J21" t="str">
            <v>협력선교협력,기관(85명)(B2)</v>
          </cell>
        </row>
        <row r="22">
          <cell r="A22">
            <v>43849</v>
          </cell>
          <cell r="J22" t="str">
            <v>협력선교협력,기관(85명)(B2)</v>
          </cell>
        </row>
        <row r="23">
          <cell r="A23">
            <v>43849</v>
          </cell>
          <cell r="J23" t="str">
            <v>협력선교협력,기관(85명)(B2)</v>
          </cell>
        </row>
        <row r="24">
          <cell r="A24">
            <v>43849</v>
          </cell>
          <cell r="J24" t="str">
            <v>협력선교협력,기관(85명)(B2)</v>
          </cell>
        </row>
        <row r="25">
          <cell r="A25">
            <v>43849</v>
          </cell>
          <cell r="J25" t="str">
            <v>협력선교협력,기관(85명)(B2)</v>
          </cell>
        </row>
        <row r="26">
          <cell r="A26">
            <v>43849</v>
          </cell>
          <cell r="J26" t="str">
            <v>선교단체(7곳)(B3)</v>
          </cell>
        </row>
        <row r="27">
          <cell r="A27">
            <v>43849</v>
          </cell>
          <cell r="J27" t="str">
            <v>청년선교활동비(H1)</v>
          </cell>
        </row>
        <row r="28">
          <cell r="A28">
            <v>43849</v>
          </cell>
          <cell r="J28" t="str">
            <v>비젼트립 지원비(청년)(H3)</v>
          </cell>
        </row>
        <row r="29">
          <cell r="A29">
            <v>43849</v>
          </cell>
          <cell r="J29" t="str">
            <v>행정사무비(L1)</v>
          </cell>
        </row>
        <row r="30">
          <cell r="A30">
            <v>43849</v>
          </cell>
          <cell r="J30" t="str">
            <v>행정사무비(L1)</v>
          </cell>
        </row>
        <row r="31">
          <cell r="A31">
            <v>43849</v>
          </cell>
          <cell r="J31" t="str">
            <v>작정헌금(A1)</v>
          </cell>
        </row>
        <row r="32">
          <cell r="A32">
            <v>43856</v>
          </cell>
          <cell r="J32" t="str">
            <v>선교위원 워크샵 및 답사비(E3)</v>
          </cell>
        </row>
        <row r="33">
          <cell r="A33">
            <v>43856</v>
          </cell>
          <cell r="J33" t="str">
            <v>행정사무비(L1)</v>
          </cell>
        </row>
        <row r="34">
          <cell r="A34">
            <v>43856</v>
          </cell>
          <cell r="J34" t="str">
            <v>작정헌금(A1)</v>
          </cell>
        </row>
        <row r="35">
          <cell r="A35">
            <v>43856</v>
          </cell>
          <cell r="J35" t="str">
            <v>목적헌금(A2)</v>
          </cell>
        </row>
        <row r="36">
          <cell r="A36">
            <v>43856</v>
          </cell>
          <cell r="J36" t="str">
            <v>목적선교비(C1)</v>
          </cell>
        </row>
        <row r="37">
          <cell r="A37">
            <v>43856</v>
          </cell>
          <cell r="J37" t="str">
            <v>목적헌금(A2)</v>
          </cell>
        </row>
        <row r="38">
          <cell r="A38">
            <v>43856</v>
          </cell>
          <cell r="J38" t="str">
            <v>목적선교비(C1)</v>
          </cell>
        </row>
        <row r="39">
          <cell r="A39">
            <v>43863</v>
          </cell>
          <cell r="J39" t="str">
            <v>특별지원비(G1)</v>
          </cell>
        </row>
        <row r="40">
          <cell r="A40">
            <v>43863</v>
          </cell>
          <cell r="J40" t="str">
            <v>특별지원비(G1)</v>
          </cell>
        </row>
        <row r="41">
          <cell r="A41">
            <v>43863</v>
          </cell>
          <cell r="J41" t="str">
            <v>특별지원비(G1)</v>
          </cell>
        </row>
        <row r="42">
          <cell r="A42">
            <v>43863</v>
          </cell>
          <cell r="J42" t="str">
            <v>선교사 경조비(부모 선물)(D1)</v>
          </cell>
        </row>
        <row r="43">
          <cell r="A43">
            <v>43863</v>
          </cell>
          <cell r="J43" t="str">
            <v>협력선교협력,기관(85명)(B2)</v>
          </cell>
        </row>
        <row r="44">
          <cell r="A44">
            <v>43863</v>
          </cell>
          <cell r="J44" t="str">
            <v>협력선교협력,기관(85명)(B2)</v>
          </cell>
        </row>
        <row r="45">
          <cell r="A45">
            <v>43863</v>
          </cell>
          <cell r="J45" t="str">
            <v>협력선교협력,기관(85명)(B2)</v>
          </cell>
        </row>
        <row r="46">
          <cell r="A46">
            <v>43863</v>
          </cell>
          <cell r="J46" t="str">
            <v>협력선교협력,기관(85명)(B2)</v>
          </cell>
        </row>
        <row r="47">
          <cell r="A47">
            <v>43863</v>
          </cell>
          <cell r="J47" t="str">
            <v>협력선교협력,기관(85명)(B2)</v>
          </cell>
        </row>
        <row r="48">
          <cell r="A48">
            <v>43863</v>
          </cell>
          <cell r="J48" t="str">
            <v>협력선교협력,기관(85명)(B2)</v>
          </cell>
        </row>
        <row r="49">
          <cell r="A49">
            <v>43863</v>
          </cell>
          <cell r="J49" t="str">
            <v>선교사 경조비(부모 선물)(D1)</v>
          </cell>
        </row>
        <row r="50">
          <cell r="A50">
            <v>43863</v>
          </cell>
          <cell r="J50" t="str">
            <v>행정사무비(L1)</v>
          </cell>
        </row>
        <row r="51">
          <cell r="A51">
            <v>43863</v>
          </cell>
          <cell r="J51" t="str">
            <v>선교사 교통비(D3)</v>
          </cell>
        </row>
        <row r="52">
          <cell r="A52">
            <v>43863</v>
          </cell>
          <cell r="J52" t="str">
            <v>일반헌금(A3)</v>
          </cell>
        </row>
        <row r="53">
          <cell r="A53">
            <v>43863</v>
          </cell>
          <cell r="J53" t="str">
            <v>작정헌금(A1)</v>
          </cell>
        </row>
        <row r="54">
          <cell r="A54">
            <v>43863</v>
          </cell>
          <cell r="J54" t="str">
            <v>목적헌금(A2)</v>
          </cell>
        </row>
        <row r="55">
          <cell r="A55">
            <v>43863</v>
          </cell>
          <cell r="J55" t="str">
            <v>목적선교비(C1)</v>
          </cell>
        </row>
        <row r="56">
          <cell r="A56">
            <v>43863</v>
          </cell>
          <cell r="J56" t="str">
            <v>청년선교활동비(H1)</v>
          </cell>
        </row>
        <row r="57">
          <cell r="A57">
            <v>43863</v>
          </cell>
          <cell r="J57" t="str">
            <v>특별지원비(G1)</v>
          </cell>
        </row>
        <row r="58">
          <cell r="A58">
            <v>43863</v>
          </cell>
          <cell r="J58" t="str">
            <v>작정헌금(A1)</v>
          </cell>
        </row>
        <row r="59">
          <cell r="A59">
            <v>43870</v>
          </cell>
          <cell r="J59" t="str">
            <v>세미나 행사비(F1)</v>
          </cell>
        </row>
        <row r="60">
          <cell r="A60">
            <v>43870</v>
          </cell>
          <cell r="J60" t="str">
            <v>세미나 행사비(F1)</v>
          </cell>
        </row>
        <row r="61">
          <cell r="A61">
            <v>43870</v>
          </cell>
          <cell r="J61" t="str">
            <v>세미나 행사비(F1)</v>
          </cell>
        </row>
        <row r="62">
          <cell r="A62">
            <v>43870</v>
          </cell>
          <cell r="J62" t="str">
            <v>세미나 행사비(F1)</v>
          </cell>
        </row>
        <row r="63">
          <cell r="A63">
            <v>43870</v>
          </cell>
          <cell r="J63" t="str">
            <v>세미나 행사비(F1)</v>
          </cell>
        </row>
        <row r="64">
          <cell r="A64">
            <v>43870</v>
          </cell>
          <cell r="J64" t="str">
            <v>세미나 행사비(F1)</v>
          </cell>
        </row>
        <row r="65">
          <cell r="A65">
            <v>43870</v>
          </cell>
          <cell r="J65" t="str">
            <v>행정사무비(L1)</v>
          </cell>
        </row>
        <row r="66">
          <cell r="A66">
            <v>43870</v>
          </cell>
          <cell r="J66" t="str">
            <v>작정헌금(A1)</v>
          </cell>
        </row>
        <row r="67">
          <cell r="A67">
            <v>43877</v>
          </cell>
          <cell r="J67" t="str">
            <v>행정사무비(L1)</v>
          </cell>
        </row>
        <row r="68">
          <cell r="A68">
            <v>43877</v>
          </cell>
          <cell r="J68" t="str">
            <v>선교사 경조비(부모 선물)(D1)</v>
          </cell>
        </row>
        <row r="69">
          <cell r="A69">
            <v>43877</v>
          </cell>
          <cell r="J69" t="str">
            <v>작정헌금(A1)</v>
          </cell>
        </row>
        <row r="70">
          <cell r="A70">
            <v>43884</v>
          </cell>
          <cell r="J70" t="str">
            <v>신간도서 구입비(F2)</v>
          </cell>
        </row>
        <row r="71">
          <cell r="A71">
            <v>43884</v>
          </cell>
          <cell r="J71" t="str">
            <v>해외봉사 지원 (장년)(I2)</v>
          </cell>
        </row>
        <row r="72">
          <cell r="A72">
            <v>43884</v>
          </cell>
          <cell r="J72" t="str">
            <v>해외봉사 지원 (장년)(I2)</v>
          </cell>
        </row>
        <row r="73">
          <cell r="A73">
            <v>43884</v>
          </cell>
          <cell r="J73" t="str">
            <v>유학생 지원(J1)</v>
          </cell>
        </row>
        <row r="74">
          <cell r="A74">
            <v>43884</v>
          </cell>
          <cell r="J74" t="str">
            <v>선교사 경조비(부모 선물)(D1)</v>
          </cell>
        </row>
        <row r="75">
          <cell r="A75">
            <v>43884</v>
          </cell>
          <cell r="J75" t="str">
            <v>행정사무비(L1)</v>
          </cell>
        </row>
        <row r="76">
          <cell r="A76">
            <v>43884</v>
          </cell>
          <cell r="J76" t="str">
            <v>행정사무비(L1)</v>
          </cell>
        </row>
        <row r="77">
          <cell r="A77">
            <v>43884</v>
          </cell>
          <cell r="J77" t="str">
            <v>행정사무비(L1)</v>
          </cell>
        </row>
        <row r="78">
          <cell r="A78">
            <v>43919</v>
          </cell>
          <cell r="J78" t="str">
            <v>행정사무비(L1)</v>
          </cell>
        </row>
        <row r="79">
          <cell r="A79">
            <v>43919</v>
          </cell>
          <cell r="J79" t="str">
            <v>교회보조금(A4)</v>
          </cell>
        </row>
        <row r="80">
          <cell r="A80">
            <v>43919</v>
          </cell>
          <cell r="J80" t="str">
            <v>주후원 선교사 (9명)(B1)</v>
          </cell>
        </row>
        <row r="81">
          <cell r="A81">
            <v>43919</v>
          </cell>
          <cell r="J81" t="str">
            <v>협력선교협력,기관(85명)(B2)</v>
          </cell>
        </row>
        <row r="82">
          <cell r="A82">
            <v>43919</v>
          </cell>
          <cell r="J82" t="str">
            <v>협력선교협력,기관(85명)(B2)</v>
          </cell>
        </row>
        <row r="83">
          <cell r="A83">
            <v>43919</v>
          </cell>
          <cell r="J83" t="str">
            <v>선교단체(7곳)(B3)</v>
          </cell>
        </row>
        <row r="84">
          <cell r="A84">
            <v>43919</v>
          </cell>
          <cell r="J84" t="str">
            <v>해외봉사 지원 (장년)(I2)</v>
          </cell>
        </row>
        <row r="85">
          <cell r="A85">
            <v>43919</v>
          </cell>
          <cell r="J85" t="str">
            <v>특별지원비(G1)</v>
          </cell>
        </row>
        <row r="86">
          <cell r="A86">
            <v>43919</v>
          </cell>
          <cell r="J86" t="str">
            <v>잡수입 및 기타(A5)</v>
          </cell>
        </row>
        <row r="87">
          <cell r="A87">
            <v>43919</v>
          </cell>
          <cell r="J87" t="str">
            <v>행정사무비(L1)</v>
          </cell>
        </row>
        <row r="88">
          <cell r="A88">
            <v>43919</v>
          </cell>
          <cell r="J88" t="str">
            <v>작정헌금(A1)</v>
          </cell>
        </row>
        <row r="89">
          <cell r="A89">
            <v>43926</v>
          </cell>
          <cell r="J89" t="str">
            <v>행정사무비(L1)</v>
          </cell>
        </row>
        <row r="90">
          <cell r="A90">
            <v>43926</v>
          </cell>
          <cell r="J90" t="str">
            <v>행정사무비(L1)</v>
          </cell>
        </row>
        <row r="91">
          <cell r="A91">
            <v>43926</v>
          </cell>
          <cell r="J91" t="str">
            <v>행정사무비(L1)</v>
          </cell>
        </row>
        <row r="92">
          <cell r="A92">
            <v>43940</v>
          </cell>
          <cell r="J92" t="str">
            <v>작정헌금(A1)</v>
          </cell>
        </row>
        <row r="93">
          <cell r="A93">
            <v>43947</v>
          </cell>
          <cell r="J93" t="str">
            <v>작정헌금(A1)</v>
          </cell>
        </row>
        <row r="94">
          <cell r="A94">
            <v>43947</v>
          </cell>
          <cell r="J94" t="str">
            <v>목적헌금(A2)</v>
          </cell>
        </row>
        <row r="95">
          <cell r="A95">
            <v>43947</v>
          </cell>
          <cell r="J95" t="str">
            <v>목적선교비(C1)</v>
          </cell>
        </row>
        <row r="96">
          <cell r="A96">
            <v>43947</v>
          </cell>
          <cell r="J96" t="str">
            <v>목적헌금(A2)</v>
          </cell>
        </row>
        <row r="97">
          <cell r="A97">
            <v>43947</v>
          </cell>
          <cell r="J97" t="str">
            <v>일반헌금(A3)</v>
          </cell>
        </row>
        <row r="98">
          <cell r="A98">
            <v>43948</v>
          </cell>
          <cell r="J98" t="str">
            <v>교회보조금(A4)</v>
          </cell>
        </row>
        <row r="99">
          <cell r="A99">
            <v>43954</v>
          </cell>
          <cell r="J99" t="str">
            <v>협력선교협력,기관(85명)(B2)</v>
          </cell>
        </row>
        <row r="100">
          <cell r="A100">
            <v>43954</v>
          </cell>
          <cell r="J100" t="str">
            <v>협력선교협력,기관(85명)(B2)</v>
          </cell>
        </row>
        <row r="101">
          <cell r="A101">
            <v>43954</v>
          </cell>
          <cell r="J101" t="str">
            <v>행정사무비(L1)</v>
          </cell>
        </row>
        <row r="102">
          <cell r="A102">
            <v>43954</v>
          </cell>
          <cell r="J102" t="str">
            <v>행정사무비(L1)</v>
          </cell>
        </row>
        <row r="103">
          <cell r="A103">
            <v>43954</v>
          </cell>
          <cell r="J103" t="str">
            <v>작정헌금(A1)</v>
          </cell>
        </row>
        <row r="104">
          <cell r="A104">
            <v>43961</v>
          </cell>
          <cell r="J104" t="str">
            <v>작정헌금(A1)</v>
          </cell>
        </row>
        <row r="105">
          <cell r="A105">
            <v>43961</v>
          </cell>
          <cell r="J105" t="str">
            <v>목적헌금(A2)</v>
          </cell>
        </row>
        <row r="106">
          <cell r="A106">
            <v>43961</v>
          </cell>
          <cell r="J106" t="str">
            <v>목적선교비(C1)</v>
          </cell>
        </row>
        <row r="107">
          <cell r="A107">
            <v>43968</v>
          </cell>
          <cell r="J107" t="str">
            <v>선교사 경조비(부모 선물)(D1)</v>
          </cell>
        </row>
        <row r="108">
          <cell r="A108">
            <v>43968</v>
          </cell>
          <cell r="J108" t="str">
            <v>선교사 경조비(부모 선물)(D1)</v>
          </cell>
        </row>
        <row r="109">
          <cell r="A109">
            <v>43968</v>
          </cell>
          <cell r="J109" t="str">
            <v>선교사 경조비(부모 선물)(D1)</v>
          </cell>
        </row>
        <row r="110">
          <cell r="A110">
            <v>43968</v>
          </cell>
          <cell r="J110" t="str">
            <v>선교사 경조비(부모 선물)(D1)</v>
          </cell>
        </row>
        <row r="111">
          <cell r="A111">
            <v>43968</v>
          </cell>
          <cell r="J111" t="str">
            <v>주후원 선교사 (9명)(B1)</v>
          </cell>
        </row>
        <row r="112">
          <cell r="A112">
            <v>43968</v>
          </cell>
          <cell r="J112" t="str">
            <v>협력선교협력,기관(85명)(B2)</v>
          </cell>
        </row>
        <row r="113">
          <cell r="A113">
            <v>43968</v>
          </cell>
          <cell r="J113" t="str">
            <v>협력선교협력,기관(85명)(B2)</v>
          </cell>
        </row>
        <row r="114">
          <cell r="A114">
            <v>43968</v>
          </cell>
          <cell r="J114" t="str">
            <v>선교단체(7곳)(B3)</v>
          </cell>
        </row>
        <row r="115">
          <cell r="A115">
            <v>43968</v>
          </cell>
          <cell r="J115" t="str">
            <v>해외봉사 지원 (장년)(I2)</v>
          </cell>
        </row>
        <row r="116">
          <cell r="A116">
            <v>43968</v>
          </cell>
          <cell r="J116" t="str">
            <v>목적선교비(C1)</v>
          </cell>
        </row>
        <row r="117">
          <cell r="A117">
            <v>43968</v>
          </cell>
          <cell r="J117" t="str">
            <v>특별지원비(G1)</v>
          </cell>
        </row>
        <row r="118">
          <cell r="A118">
            <v>43968</v>
          </cell>
          <cell r="J118" t="str">
            <v>행정사무비(L1)</v>
          </cell>
        </row>
        <row r="119">
          <cell r="A119">
            <v>43968</v>
          </cell>
          <cell r="J119" t="str">
            <v>작정헌금(A1)</v>
          </cell>
        </row>
        <row r="120">
          <cell r="A120">
            <v>43968</v>
          </cell>
          <cell r="J120" t="str">
            <v>목적헌금(A2)</v>
          </cell>
        </row>
        <row r="121">
          <cell r="A121">
            <v>43968</v>
          </cell>
          <cell r="J121" t="str">
            <v>목적선교비(C1)</v>
          </cell>
        </row>
        <row r="122">
          <cell r="A122">
            <v>43975</v>
          </cell>
          <cell r="J122" t="str">
            <v>작정헌금(A1)</v>
          </cell>
        </row>
        <row r="123">
          <cell r="A123">
            <v>43982</v>
          </cell>
          <cell r="J123" t="str">
            <v>작정헌금(A1)</v>
          </cell>
        </row>
        <row r="124">
          <cell r="A124">
            <v>43982</v>
          </cell>
          <cell r="J124" t="str">
            <v>목적헌금(A2)</v>
          </cell>
        </row>
        <row r="125">
          <cell r="A125">
            <v>43982</v>
          </cell>
          <cell r="J125" t="str">
            <v>목적선교비(C1)</v>
          </cell>
        </row>
        <row r="126">
          <cell r="A126">
            <v>43982</v>
          </cell>
          <cell r="J126" t="str">
            <v>일반헌금(A3)</v>
          </cell>
        </row>
        <row r="127">
          <cell r="A127">
            <v>43982</v>
          </cell>
          <cell r="J127" t="str">
            <v>목적헌금(A2)</v>
          </cell>
        </row>
        <row r="128">
          <cell r="A128">
            <v>43982</v>
          </cell>
          <cell r="J128" t="str">
            <v>목적선교비(C1)</v>
          </cell>
        </row>
        <row r="129">
          <cell r="A129">
            <v>43989</v>
          </cell>
          <cell r="J129" t="str">
            <v>작정헌금(A1)</v>
          </cell>
        </row>
        <row r="130">
          <cell r="A130">
            <v>43989</v>
          </cell>
          <cell r="J130" t="str">
            <v>행정사무비(L1)</v>
          </cell>
        </row>
        <row r="131">
          <cell r="A131">
            <v>43989</v>
          </cell>
          <cell r="J131" t="str">
            <v>행정사무비(L1)</v>
          </cell>
        </row>
        <row r="132">
          <cell r="A132">
            <v>43989</v>
          </cell>
          <cell r="J132" t="str">
            <v>행정사무비(L1)</v>
          </cell>
        </row>
        <row r="133">
          <cell r="A133">
            <v>43989</v>
          </cell>
          <cell r="J133" t="str">
            <v>선교기도지(F3)</v>
          </cell>
        </row>
        <row r="134">
          <cell r="A134">
            <v>43989</v>
          </cell>
          <cell r="J134" t="str">
            <v>특별지원비(G1)</v>
          </cell>
        </row>
        <row r="135">
          <cell r="A135">
            <v>43996</v>
          </cell>
          <cell r="J135" t="str">
            <v>작정헌금(A1)</v>
          </cell>
        </row>
        <row r="136">
          <cell r="A136">
            <v>43996</v>
          </cell>
          <cell r="J136" t="str">
            <v>목적헌금(A2)</v>
          </cell>
        </row>
        <row r="137">
          <cell r="A137">
            <v>44003</v>
          </cell>
          <cell r="J137" t="str">
            <v>선교사 교통비(D3)</v>
          </cell>
        </row>
        <row r="138">
          <cell r="A138">
            <v>44003</v>
          </cell>
          <cell r="J138" t="str">
            <v>작정헌금(A1)</v>
          </cell>
        </row>
        <row r="139">
          <cell r="A139">
            <v>44003</v>
          </cell>
          <cell r="J139" t="str">
            <v>교회보조금(A4)</v>
          </cell>
        </row>
        <row r="140">
          <cell r="A140">
            <v>44010</v>
          </cell>
          <cell r="J140" t="str">
            <v>작정헌금(A1)</v>
          </cell>
        </row>
        <row r="141">
          <cell r="A141">
            <v>44010</v>
          </cell>
          <cell r="J141" t="str">
            <v>목적헌금(A2)</v>
          </cell>
        </row>
        <row r="142">
          <cell r="A142">
            <v>44010</v>
          </cell>
          <cell r="J142" t="str">
            <v>목적헌금(A2)</v>
          </cell>
        </row>
        <row r="143">
          <cell r="A143">
            <v>44010</v>
          </cell>
          <cell r="J143" t="str">
            <v>일반헌금(A3)</v>
          </cell>
        </row>
        <row r="144">
          <cell r="A144">
            <v>44010</v>
          </cell>
          <cell r="J144" t="str">
            <v>목적헌금(A2)</v>
          </cell>
        </row>
        <row r="145">
          <cell r="A145">
            <v>44010</v>
          </cell>
          <cell r="J145" t="str">
            <v>잡수입 및 기타(A5)</v>
          </cell>
        </row>
        <row r="146">
          <cell r="A146">
            <v>44010</v>
          </cell>
          <cell r="J146" t="str">
            <v>선교사 접대비(D4)</v>
          </cell>
        </row>
        <row r="147">
          <cell r="A147">
            <v>44010</v>
          </cell>
          <cell r="J147" t="str">
            <v>행정사무비(L1)</v>
          </cell>
        </row>
        <row r="148">
          <cell r="A148">
            <v>44010</v>
          </cell>
          <cell r="J148" t="str">
            <v>행정사무비(L1)</v>
          </cell>
        </row>
        <row r="149">
          <cell r="A149">
            <v>44010</v>
          </cell>
          <cell r="J149" t="str">
            <v>세미나 행사비(F1)</v>
          </cell>
        </row>
        <row r="150">
          <cell r="A150">
            <v>44010</v>
          </cell>
          <cell r="J150" t="str">
            <v>세미나 행사비(F1)</v>
          </cell>
        </row>
        <row r="151">
          <cell r="A151">
            <v>44017</v>
          </cell>
          <cell r="J151" t="str">
            <v>목적선교비(C1)</v>
          </cell>
        </row>
        <row r="152">
          <cell r="A152">
            <v>44017</v>
          </cell>
          <cell r="J152" t="str">
            <v>선교사 접대비(D4)</v>
          </cell>
        </row>
        <row r="153">
          <cell r="A153">
            <v>44017</v>
          </cell>
          <cell r="J153" t="str">
            <v>세미나 행사비(F1)</v>
          </cell>
        </row>
        <row r="154">
          <cell r="A154">
            <v>44017</v>
          </cell>
          <cell r="J154" t="str">
            <v>세미나 행사비(F1)</v>
          </cell>
        </row>
        <row r="155">
          <cell r="A155">
            <v>44017</v>
          </cell>
          <cell r="J155" t="str">
            <v>목적선교비(C1)</v>
          </cell>
        </row>
        <row r="156">
          <cell r="A156">
            <v>44017</v>
          </cell>
          <cell r="J156" t="str">
            <v>목적선교비(C1)</v>
          </cell>
        </row>
        <row r="157">
          <cell r="A157">
            <v>44017</v>
          </cell>
          <cell r="J157" t="str">
            <v>목적선교비(C1)</v>
          </cell>
        </row>
        <row r="158">
          <cell r="A158">
            <v>44017</v>
          </cell>
          <cell r="J158" t="str">
            <v>행정사무비(L1)</v>
          </cell>
        </row>
        <row r="159">
          <cell r="A159">
            <v>44024</v>
          </cell>
          <cell r="J159" t="str">
            <v>작정헌금(A1)</v>
          </cell>
        </row>
        <row r="160">
          <cell r="A160">
            <v>44024</v>
          </cell>
          <cell r="J160" t="str">
            <v>주후원 선교사 (9명)(B1)</v>
          </cell>
        </row>
        <row r="161">
          <cell r="A161">
            <v>44024</v>
          </cell>
          <cell r="J161" t="str">
            <v>협력선교협력,기관(85명)(B2)</v>
          </cell>
        </row>
        <row r="162">
          <cell r="A162">
            <v>44024</v>
          </cell>
          <cell r="J162" t="str">
            <v>협력선교협력,기관(85명)(B2)</v>
          </cell>
        </row>
        <row r="163">
          <cell r="A163">
            <v>44024</v>
          </cell>
          <cell r="J163" t="str">
            <v>선교단체(7곳)(B3)</v>
          </cell>
        </row>
        <row r="164">
          <cell r="A164">
            <v>44024</v>
          </cell>
          <cell r="J164" t="str">
            <v>해외봉사 지원 (장년)(I2)</v>
          </cell>
        </row>
        <row r="165">
          <cell r="A165">
            <v>44024</v>
          </cell>
          <cell r="J165" t="str">
            <v>목적선교비(C1)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2.82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3.32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3.82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6.17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6.60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7.97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A3E135-27FD-4BAD-ABAE-18012D8E5B82}" name="표1" displayName="표1" ref="A1:L3" totalsRowShown="0" headerRowDxfId="45" dataDxfId="44" tableBorderDxfId="43" headerRowCellStyle="쉼표 [0]" dataCellStyle="쉼표 [0]">
  <autoFilter ref="A1:L3" xr:uid="{B0A3E135-27FD-4BAD-ABAE-18012D8E5B82}"/>
  <tableColumns count="12">
    <tableColumn id="1" xr3:uid="{58B8A490-283A-44BB-A9E9-3745666101D7}" name="일  자" dataDxfId="42"/>
    <tableColumn id="2" xr3:uid="{04C8F4E3-1881-4132-B5D1-64CAD354DA01}" name="적   요" dataDxfId="41"/>
    <tableColumn id="3" xr3:uid="{98751440-0147-4245-82A0-DD613CA4F6CA}" name="수입금액" dataDxfId="40" dataCellStyle="쉼표 [0]"/>
    <tableColumn id="4" xr3:uid="{39D94D31-1B14-4695-8F3F-49CFA4A640BD}" name="지출금액" dataDxfId="39" dataCellStyle="쉼표 [0]"/>
    <tableColumn id="5" xr3:uid="{674E07EF-43A6-4170-A3D4-A49A17787C10}" name="잔  액" dataDxfId="38" dataCellStyle="쉼표 [0]">
      <calculatedColumnFormula>IF(ROW(E2)=2,C2-D2,E1+C2-D2)</calculatedColumnFormula>
    </tableColumn>
    <tableColumn id="6" xr3:uid="{A29ABE2C-1B83-472D-A8E7-81A2E037355B}" name="비   고" dataDxfId="37" dataCellStyle="쉼표 [0]"/>
    <tableColumn id="7" xr3:uid="{3695AE40-C8C5-493B-9CF9-51976611BD22}" name="수입/지출" dataDxfId="36" dataCellStyle="쉼표 [0]">
      <calculatedColumnFormula>IF(ISBLANK(C2),"지출항목","수입항목")</calculatedColumnFormula>
    </tableColumn>
    <tableColumn id="8" xr3:uid="{4DE3D90C-6721-4293-BAC6-AC12AF644DAB}" name="회계코드위치" dataDxfId="35" dataCellStyle="쉼표 [0]">
      <calculatedColumnFormula>IF(회계장부!$G2="수입항목",0,25)</calculatedColumnFormula>
    </tableColumn>
    <tableColumn id="9" xr3:uid="{A9E7AFB5-2F6F-4B59-A5FC-F47706575F5C}" name="관" dataDxfId="34" dataCellStyle="쉼표 [0]"/>
    <tableColumn id="10" xr3:uid="{AFBA9169-D208-4193-993B-6C44503CE239}" name="항목" dataDxfId="33" dataCellStyle="쉼표 [0]"/>
    <tableColumn id="11" xr3:uid="{562BAA22-165F-4165-8233-896BFCCD887A}" name="수입누적구분" dataDxfId="32" dataCellStyle="쉼표 [0]">
      <calculatedColumnFormula>IF(G2="수입항목",IF(I2="헌금/회비","자체헌금",IF(I2="교회보조금","교회보조금","기타")),"")</calculatedColumnFormula>
    </tableColumn>
    <tableColumn id="12" xr3:uid="{6B307BBD-AB33-431F-B8AE-2A44089ED1EB}" name="월" dataDxfId="31" dataCellStyle="쉼표 [0]">
      <calculatedColumnFormula>MONTH(A2)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st128@naver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L346"/>
  <sheetViews>
    <sheetView zoomScale="70" zoomScaleNormal="70" workbookViewId="0">
      <pane ySplit="1" topLeftCell="A2" activePane="bottomLeft" state="frozen"/>
      <selection activeCell="H5" sqref="H5:H6"/>
      <selection pane="bottomLeft" activeCell="A2" sqref="A2"/>
    </sheetView>
  </sheetViews>
  <sheetFormatPr defaultColWidth="9" defaultRowHeight="24" customHeight="1"/>
  <cols>
    <col min="1" max="1" width="10.75" style="37" customWidth="1"/>
    <col min="2" max="2" width="36.25" style="47" customWidth="1"/>
    <col min="3" max="4" width="17.33203125" style="38" customWidth="1"/>
    <col min="5" max="5" width="19.08203125" style="40" customWidth="1"/>
    <col min="6" max="6" width="30" style="39" customWidth="1"/>
    <col min="7" max="7" width="13.33203125" style="255" bestFit="1" customWidth="1"/>
    <col min="8" max="8" width="18" style="255" hidden="1" customWidth="1"/>
    <col min="9" max="9" width="21.25" style="256" bestFit="1" customWidth="1"/>
    <col min="10" max="10" width="27.83203125" style="256" customWidth="1"/>
    <col min="11" max="11" width="15.08203125" style="257" customWidth="1"/>
    <col min="12" max="12" width="8.33203125" style="255" bestFit="1" customWidth="1"/>
    <col min="13" max="16384" width="9" style="36"/>
  </cols>
  <sheetData>
    <row r="1" spans="1:12" s="35" customFormat="1" ht="24" customHeight="1" thickBot="1">
      <c r="A1" s="75" t="s">
        <v>1</v>
      </c>
      <c r="B1" s="70" t="s">
        <v>2</v>
      </c>
      <c r="C1" s="71" t="s">
        <v>3</v>
      </c>
      <c r="D1" s="71" t="s">
        <v>4</v>
      </c>
      <c r="E1" s="72" t="s">
        <v>35</v>
      </c>
      <c r="F1" s="42" t="s">
        <v>5</v>
      </c>
      <c r="G1" s="244" t="s">
        <v>9</v>
      </c>
      <c r="H1" s="245" t="s">
        <v>99</v>
      </c>
      <c r="I1" s="246" t="s">
        <v>7</v>
      </c>
      <c r="J1" s="246" t="s">
        <v>6</v>
      </c>
      <c r="K1" s="245" t="s">
        <v>10</v>
      </c>
      <c r="L1" s="245" t="s">
        <v>11</v>
      </c>
    </row>
    <row r="2" spans="1:12" ht="24" customHeight="1" thickTop="1">
      <c r="A2" s="76">
        <f>DATE(회계년도,1,1)</f>
        <v>44927</v>
      </c>
      <c r="B2" s="73" t="s">
        <v>12</v>
      </c>
      <c r="C2" s="74">
        <v>270000</v>
      </c>
      <c r="D2" s="74"/>
      <c r="E2" s="74">
        <f t="shared" ref="E2:E3" si="0">IF(ROW(E2)=2,C2-D2,E1+C2-D2)</f>
        <v>270000</v>
      </c>
      <c r="F2" s="41"/>
      <c r="G2" s="247" t="str">
        <f t="shared" ref="G2:G3" si="1">IF(ISBLANK(C2),"지출항목","수입항목")</f>
        <v>수입항목</v>
      </c>
      <c r="H2" s="248">
        <f>IF(회계장부!$G2="수입항목",0,25)</f>
        <v>0</v>
      </c>
      <c r="I2" s="249" t="s">
        <v>101</v>
      </c>
      <c r="J2" s="250" t="s">
        <v>101</v>
      </c>
      <c r="K2" s="250" t="str">
        <f t="shared" ref="K2" si="2">IF(G2="수입항목",IF(I2="헌금/회비","자체헌금",IF(I2="교회보조금","교회보조금","기타")),"")</f>
        <v>기타</v>
      </c>
      <c r="L2" s="248">
        <f t="shared" ref="L2" si="3">MONTH(A2)</f>
        <v>1</v>
      </c>
    </row>
    <row r="3" spans="1:12" ht="24" customHeight="1">
      <c r="A3" s="96">
        <v>44929</v>
      </c>
      <c r="B3" s="97" t="s">
        <v>168</v>
      </c>
      <c r="C3" s="98"/>
      <c r="D3" s="98">
        <v>50000</v>
      </c>
      <c r="E3" s="99">
        <f t="shared" si="0"/>
        <v>220000</v>
      </c>
      <c r="F3" s="100"/>
      <c r="G3" s="251" t="str">
        <f t="shared" si="1"/>
        <v>지출항목</v>
      </c>
      <c r="H3" s="252">
        <f>IF(회계장부!$G3="수입항목",0,25)</f>
        <v>25</v>
      </c>
      <c r="I3" s="253" t="s">
        <v>246</v>
      </c>
      <c r="J3" s="253" t="s">
        <v>244</v>
      </c>
      <c r="K3" s="254" t="str">
        <f t="shared" ref="K3" si="4">IF(G3="수입항목",IF(I3="헌금/회비","자체헌금",IF(I3="교회보조금","교회보조금","기타")),"")</f>
        <v/>
      </c>
      <c r="L3" s="252">
        <f t="shared" ref="L3" si="5">MONTH(A3)</f>
        <v>1</v>
      </c>
    </row>
    <row r="346" spans="6:6" ht="24" customHeight="1">
      <c r="F346" s="267" t="s">
        <v>247</v>
      </c>
    </row>
  </sheetData>
  <phoneticPr fontId="2" type="noConversion"/>
  <conditionalFormatting sqref="A2:L1048576">
    <cfRule type="expression" dxfId="47" priority="46816">
      <formula>MOD(ROW($A2),2)=0</formula>
    </cfRule>
  </conditionalFormatting>
  <conditionalFormatting sqref="I2:J1048576">
    <cfRule type="expression" dxfId="46" priority="27">
      <formula>AND(LEN($A2)&gt;0,LEN($B2)&gt;0,I2=0,OR($C2&gt;0,$D2&gt;0))</formula>
    </cfRule>
  </conditionalFormatting>
  <dataValidations count="1">
    <dataValidation type="list" allowBlank="1" showInputMessage="1" showErrorMessage="1" sqref="G2:G3" xr:uid="{8D293E6B-8657-4FE5-9897-2E713236E5C9}">
      <formula1>"수입항목,지출항목"</formula1>
    </dataValidation>
  </dataValidations>
  <hyperlinks>
    <hyperlink ref="F346" r:id="rId1" xr:uid="{80194068-92CB-43C1-BFC2-7E9A7429B602}"/>
  </hyperlinks>
  <pageMargins left="0.31496062992125984" right="0.19685039370078741" top="0.74803149606299213" bottom="0.74803149606299213" header="0.31496062992125984" footer="0.31496062992125984"/>
  <pageSetup paperSize="9" scale="10" orientation="portrait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346B5C8-B342-4715-BFD0-C953C402D6ED}">
          <x14:formula1>
            <xm:f>OFFSET(회계코드!$A$5,$H2+1,MATCH($I2,OFFSET(회계코드!$A$5,$H2,,1,COUNTA(OFFSET(회계코드!$A$5,$H2,,1,15))),0)-1,COUNTA(OFFSET(회계코드!$A$5,$H2+1,MATCH($I2,OFFSET(회계코드!$A$5,$H2,,1,COUNTA(OFFSET(회계코드!$A$5,$H2,,1,15))),0)-1,20,1)),1)</xm:f>
          </x14:formula1>
          <xm:sqref>J2:J1048576</xm:sqref>
        </x14:dataValidation>
        <x14:dataValidation type="list" allowBlank="1" showInputMessage="1" showErrorMessage="1" xr:uid="{A404F419-F945-4AEA-8A34-D8FA33E45A8E}">
          <x14:formula1>
            <xm:f>OFFSET(회계코드!$A$5,$H2,,1,COUNTA(OFFSET(회계코드!$A$5,$H2,,1,15)))</xm:f>
          </x14:formula1>
          <xm:sqref>I2:I1048576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DFC3-AFC9-4064-B09B-5262BCAC0A14}">
  <dimension ref="A1:I21"/>
  <sheetViews>
    <sheetView workbookViewId="0">
      <selection activeCell="G20" sqref="G20"/>
    </sheetView>
  </sheetViews>
  <sheetFormatPr defaultRowHeight="17"/>
  <cols>
    <col min="1" max="1" width="9.9140625" style="1" customWidth="1"/>
    <col min="2" max="2" width="14.9140625" style="1" customWidth="1"/>
    <col min="3" max="3" width="14.75" style="1" customWidth="1"/>
    <col min="4" max="4" width="13.58203125" customWidth="1"/>
    <col min="5" max="5" width="10.83203125" customWidth="1"/>
    <col min="6" max="6" width="13.83203125" customWidth="1"/>
    <col min="7" max="7" width="14.58203125" customWidth="1"/>
    <col min="8" max="8" width="10.9140625" customWidth="1"/>
  </cols>
  <sheetData>
    <row r="1" spans="1:9">
      <c r="A1" s="1" t="s">
        <v>237</v>
      </c>
      <c r="C1" s="1">
        <f>COUNTIF($C$2:$C$21,"*?")</f>
        <v>11</v>
      </c>
      <c r="E1" s="1" t="s">
        <v>238</v>
      </c>
      <c r="F1" s="1"/>
      <c r="G1" s="1">
        <f>COUNTIF($G$2:$G$21,"*?")</f>
        <v>2</v>
      </c>
    </row>
    <row r="2" spans="1:9">
      <c r="A2" s="1">
        <f>IF(ISNUMBER(SEARCH(A$1,B2)),MAX($A$1:$A1)+1,0)</f>
        <v>1</v>
      </c>
      <c r="B2" s="1" t="str">
        <f>회계코드!$C6</f>
        <v>주일헌금</v>
      </c>
      <c r="C2" s="1" t="str">
        <f>IFERROR(VLOOKUP(ROWS($C$2:C2),$A$2:$B$21,2,FALSE),"")</f>
        <v>주일헌금</v>
      </c>
      <c r="E2" s="1">
        <f>IF(ISNUMBER(SEARCH(E$1,F2)),MAX($E$1:$E1)+1,0)</f>
        <v>0</v>
      </c>
      <c r="F2" s="1" t="str">
        <f>회계코드!$C6</f>
        <v>주일헌금</v>
      </c>
      <c r="G2" s="1" t="str">
        <f>IFERROR(VLOOKUP(ROWS($G$2:G2),$E$2:$F$21,2,FALSE),"")</f>
        <v>전도회비</v>
      </c>
    </row>
    <row r="3" spans="1:9">
      <c r="A3" s="1">
        <f>IF(ISNUMBER(SEARCH(A$1,B3)),MAX($A$1:$A2)+1,0)</f>
        <v>2</v>
      </c>
      <c r="B3" s="1" t="str">
        <f>회계코드!$C7</f>
        <v>십일조헌금</v>
      </c>
      <c r="C3" s="1" t="str">
        <f>IFERROR(VLOOKUP(ROWS($C$2:C3),$A$2:$B$21,2,FALSE),"")</f>
        <v>십일조헌금</v>
      </c>
      <c r="E3" s="1">
        <f>IF(ISNUMBER(SEARCH(E$1,F3)),MAX($E$1:$E2)+1,0)</f>
        <v>0</v>
      </c>
      <c r="F3" s="1" t="str">
        <f>회계코드!$C7</f>
        <v>십일조헌금</v>
      </c>
      <c r="G3" s="1" t="str">
        <f>IFERROR(VLOOKUP(ROWS($G$2:G3),$E$2:$F$21,2,FALSE),"")</f>
        <v>찬양대회비</v>
      </c>
      <c r="I3" t="e" cm="1">
        <f t="array" aca="1" ref="I3" ca="1">OFFSET(#REF!,,,COUNTIF(#REF!,"*?")-1)</f>
        <v>#REF!</v>
      </c>
    </row>
    <row r="4" spans="1:9">
      <c r="A4" s="1">
        <f>IF(ISNUMBER(SEARCH(A$1,B4)),MAX($A$1:$A3)+1,0)</f>
        <v>3</v>
      </c>
      <c r="B4" s="1" t="str">
        <f>회계코드!$C8</f>
        <v>감사헌금</v>
      </c>
      <c r="C4" s="1" t="str">
        <f>IFERROR(VLOOKUP(ROWS($C$2:C4),$A$2:$B$21,2,FALSE),"")</f>
        <v>감사헌금</v>
      </c>
      <c r="E4" s="1">
        <f>IF(ISNUMBER(SEARCH(E$1,F4)),MAX($E$1:$E3)+1,0)</f>
        <v>0</v>
      </c>
      <c r="F4" s="1" t="str">
        <f>회계코드!$C8</f>
        <v>감사헌금</v>
      </c>
      <c r="G4" s="1" t="str">
        <f>IFERROR(VLOOKUP(ROWS($G$2:G4),$E$2:$F$21,2,FALSE),"")</f>
        <v/>
      </c>
    </row>
    <row r="5" spans="1:9">
      <c r="A5" s="1">
        <f>IF(ISNUMBER(SEARCH(A$1,B5)),MAX($A$1:$A4)+1,0)</f>
        <v>4</v>
      </c>
      <c r="B5" s="1" t="str">
        <f>회계코드!$C9</f>
        <v>선교헌금</v>
      </c>
      <c r="C5" s="1" t="str">
        <f>IFERROR(VLOOKUP(ROWS($C$2:C5),$A$2:$B$21,2,FALSE),"")</f>
        <v>선교헌금</v>
      </c>
      <c r="E5" s="1">
        <f>IF(ISNUMBER(SEARCH(E$1,F5)),MAX($E$1:$E4)+1,0)</f>
        <v>0</v>
      </c>
      <c r="F5" s="1" t="str">
        <f>회계코드!$C9</f>
        <v>선교헌금</v>
      </c>
      <c r="G5" s="1" t="str">
        <f>IFERROR(VLOOKUP(ROWS($G$2:G5),$E$2:$F$21,2,FALSE),"")</f>
        <v/>
      </c>
    </row>
    <row r="6" spans="1:9">
      <c r="A6" s="1">
        <f>IF(ISNUMBER(SEARCH(A$1,B6)),MAX($A$1:$A5)+1,0)</f>
        <v>5</v>
      </c>
      <c r="B6" s="1" t="str">
        <f>회계코드!$C10</f>
        <v>해외선교헌금</v>
      </c>
      <c r="C6" s="1" t="str">
        <f>IFERROR(VLOOKUP(ROWS($C$2:C6),$A$2:$B$21,2,FALSE),"")</f>
        <v>해외선교헌금</v>
      </c>
      <c r="E6" s="1">
        <f>IF(ISNUMBER(SEARCH(E$1,F6)),MAX($E$1:$E5)+1,0)</f>
        <v>0</v>
      </c>
      <c r="F6" s="1" t="str">
        <f>회계코드!$C10</f>
        <v>해외선교헌금</v>
      </c>
      <c r="G6" s="1" t="str">
        <f>IFERROR(VLOOKUP(ROWS($G$2:G6),$E$2:$F$21,2,FALSE),"")</f>
        <v/>
      </c>
    </row>
    <row r="7" spans="1:9">
      <c r="A7" s="1">
        <f>IF(ISNUMBER(SEARCH(A$1,B7)),MAX($A$1:$A6)+1,0)</f>
        <v>6</v>
      </c>
      <c r="B7" s="1" t="str">
        <f>회계코드!$C11</f>
        <v>기관선교헌금</v>
      </c>
      <c r="C7" s="1" t="str">
        <f>IFERROR(VLOOKUP(ROWS($C$2:C7),$A$2:$B$21,2,FALSE),"")</f>
        <v>기관선교헌금</v>
      </c>
      <c r="E7" s="1">
        <f>IF(ISNUMBER(SEARCH(E$1,F7)),MAX($E$1:$E6)+1,0)</f>
        <v>0</v>
      </c>
      <c r="F7" s="1" t="str">
        <f>회계코드!$C11</f>
        <v>기관선교헌금</v>
      </c>
      <c r="G7" s="1" t="str">
        <f>IFERROR(VLOOKUP(ROWS($G$2:G7),$E$2:$F$21,2,FALSE),"")</f>
        <v/>
      </c>
    </row>
    <row r="8" spans="1:9">
      <c r="A8" s="1">
        <f>IF(ISNUMBER(SEARCH(A$1,B8)),MAX($A$1:$A7)+1,0)</f>
        <v>7</v>
      </c>
      <c r="B8" s="1" t="str">
        <f>회계코드!$C12</f>
        <v>특별헌금</v>
      </c>
      <c r="C8" s="1" t="str">
        <f>IFERROR(VLOOKUP(ROWS($C$2:C8),$A$2:$B$21,2,FALSE),"")</f>
        <v>특별헌금</v>
      </c>
      <c r="E8" s="1">
        <f>IF(ISNUMBER(SEARCH(E$1,F8)),MAX($E$1:$E7)+1,0)</f>
        <v>0</v>
      </c>
      <c r="F8" s="1" t="str">
        <f>회계코드!$C12</f>
        <v>특별헌금</v>
      </c>
      <c r="G8" s="1" t="str">
        <f>IFERROR(VLOOKUP(ROWS($G$2:G8),$E$2:$F$21,2,FALSE),"")</f>
        <v/>
      </c>
    </row>
    <row r="9" spans="1:9">
      <c r="A9" s="1">
        <f>IF(ISNUMBER(SEARCH(A$1,B9)),MAX($A$1:$A8)+1,0)</f>
        <v>8</v>
      </c>
      <c r="B9" s="1" t="str">
        <f>회계코드!$C13</f>
        <v>건축헌금</v>
      </c>
      <c r="C9" s="1" t="str">
        <f>IFERROR(VLOOKUP(ROWS($C$2:C9),$A$2:$B$21,2,FALSE),"")</f>
        <v>건축헌금</v>
      </c>
      <c r="E9" s="1">
        <f>IF(ISNUMBER(SEARCH(E$1,F9)),MAX($E$1:$E8)+1,0)</f>
        <v>0</v>
      </c>
      <c r="F9" s="1" t="str">
        <f>회계코드!$C13</f>
        <v>건축헌금</v>
      </c>
      <c r="G9" s="1" t="str">
        <f>IFERROR(VLOOKUP(ROWS($G$2:G9),$E$2:$F$21,2,FALSE),"")</f>
        <v/>
      </c>
    </row>
    <row r="10" spans="1:9">
      <c r="A10" s="1">
        <f>IF(ISNUMBER(SEARCH(A$1,B10)),MAX($A$1:$A9)+1,0)</f>
        <v>9</v>
      </c>
      <c r="B10" s="1" t="str">
        <f>회계코드!$C14</f>
        <v>장학헌금</v>
      </c>
      <c r="C10" s="1" t="str">
        <f>IFERROR(VLOOKUP(ROWS($C$2:C10),$A$2:$B$21,2,FALSE),"")</f>
        <v>장학헌금</v>
      </c>
      <c r="E10" s="1">
        <f>IF(ISNUMBER(SEARCH(E$1,F10)),MAX($E$1:$E9)+1,0)</f>
        <v>0</v>
      </c>
      <c r="F10" s="1" t="str">
        <f>회계코드!$C14</f>
        <v>장학헌금</v>
      </c>
      <c r="G10" s="1" t="str">
        <f>IFERROR(VLOOKUP(ROWS($G$2:G10),$E$2:$F$21,2,FALSE),"")</f>
        <v/>
      </c>
    </row>
    <row r="11" spans="1:9">
      <c r="A11" s="1">
        <f>IF(ISNUMBER(SEARCH(A$1,B11)),MAX($A$1:$A10)+1,0)</f>
        <v>10</v>
      </c>
      <c r="B11" s="1" t="str">
        <f>회계코드!$C15</f>
        <v>구역헌금</v>
      </c>
      <c r="C11" s="1" t="str">
        <f>IFERROR(VLOOKUP(ROWS($C$2:C11),$A$2:$B$21,2,FALSE),"")</f>
        <v>구역헌금</v>
      </c>
      <c r="E11" s="1">
        <f>IF(ISNUMBER(SEARCH(E$1,F11)),MAX($E$1:$E10)+1,0)</f>
        <v>0</v>
      </c>
      <c r="F11" s="1" t="str">
        <f>회계코드!$C15</f>
        <v>구역헌금</v>
      </c>
      <c r="G11" s="1" t="str">
        <f>IFERROR(VLOOKUP(ROWS($G$2:G11),$E$2:$F$21,2,FALSE),"")</f>
        <v/>
      </c>
    </row>
    <row r="12" spans="1:9">
      <c r="A12" s="1">
        <f>IF(ISNUMBER(SEARCH(A$1,B12)),MAX($A$1:$A11)+1,0)</f>
        <v>11</v>
      </c>
      <c r="B12" s="1" t="str">
        <f>회계코드!$C16</f>
        <v>절기헌금</v>
      </c>
      <c r="C12" s="1" t="str">
        <f>IFERROR(VLOOKUP(ROWS($C$2:C12),$A$2:$B$21,2,FALSE),"")</f>
        <v>절기헌금</v>
      </c>
      <c r="E12" s="1">
        <f>IF(ISNUMBER(SEARCH(E$1,F12)),MAX($E$1:$E11)+1,0)</f>
        <v>0</v>
      </c>
      <c r="F12" s="1" t="str">
        <f>회계코드!$C16</f>
        <v>절기헌금</v>
      </c>
      <c r="G12" s="1" t="str">
        <f>IFERROR(VLOOKUP(ROWS($G$2:G12),$E$2:$F$21,2,FALSE),"")</f>
        <v/>
      </c>
    </row>
    <row r="13" spans="1:9">
      <c r="A13" s="1">
        <f>IF(ISNUMBER(SEARCH(A$1,B13)),MAX($A$1:$A12)+1,0)</f>
        <v>0</v>
      </c>
      <c r="B13" s="1" t="str">
        <f>회계코드!$C17</f>
        <v>전도회비</v>
      </c>
      <c r="C13" s="1" t="str">
        <f>IFERROR(VLOOKUP(ROWS($C$2:C13),$A$2:$B$21,2,FALSE),"")</f>
        <v/>
      </c>
      <c r="E13" s="1">
        <f>IF(ISNUMBER(SEARCH(E$1,F13)),MAX($E$1:$E12)+1,0)</f>
        <v>1</v>
      </c>
      <c r="F13" s="1" t="str">
        <f>회계코드!$C17</f>
        <v>전도회비</v>
      </c>
      <c r="G13" s="1" t="str">
        <f>IFERROR(VLOOKUP(ROWS($G$2:G13),$E$2:$F$21,2,FALSE),"")</f>
        <v/>
      </c>
    </row>
    <row r="14" spans="1:9">
      <c r="A14" s="1">
        <f>IF(ISNUMBER(SEARCH(A$1,B14)),MAX($A$1:$A13)+1,0)</f>
        <v>0</v>
      </c>
      <c r="B14" s="1" t="str">
        <f>회계코드!$C18</f>
        <v>찬양대회비</v>
      </c>
      <c r="C14" s="1" t="str">
        <f>IFERROR(VLOOKUP(ROWS($C$2:C14),$A$2:$B$21,2,FALSE),"")</f>
        <v/>
      </c>
      <c r="E14" s="1">
        <f>IF(ISNUMBER(SEARCH(E$1,F14)),MAX($E$1:$E13)+1,0)</f>
        <v>2</v>
      </c>
      <c r="F14" s="1" t="str">
        <f>회계코드!$C18</f>
        <v>찬양대회비</v>
      </c>
      <c r="G14" s="1" t="str">
        <f>IFERROR(VLOOKUP(ROWS($G$2:G14),$E$2:$F$21,2,FALSE),"")</f>
        <v/>
      </c>
    </row>
    <row r="15" spans="1:9">
      <c r="A15" s="1">
        <f>IF(ISNUMBER(SEARCH(A$1,B15)),MAX($A$1:$A14)+1,0)</f>
        <v>0</v>
      </c>
      <c r="B15" s="1">
        <f>회계코드!$C19</f>
        <v>0</v>
      </c>
      <c r="C15" s="1" t="str">
        <f>IFERROR(VLOOKUP(ROWS($C$2:C15),$A$2:$B$21,2,FALSE),"")</f>
        <v/>
      </c>
      <c r="E15" s="1">
        <f>IF(ISNUMBER(SEARCH(E$1,F15)),MAX($E$1:$E14)+1,0)</f>
        <v>0</v>
      </c>
      <c r="F15" s="1">
        <f>회계코드!$C19</f>
        <v>0</v>
      </c>
      <c r="G15" s="1" t="str">
        <f>IFERROR(VLOOKUP(ROWS($G$2:G15),$E$2:$F$21,2,FALSE),"")</f>
        <v/>
      </c>
    </row>
    <row r="16" spans="1:9">
      <c r="A16" s="1">
        <f>IF(ISNUMBER(SEARCH(A$1,B16)),MAX($A$1:$A15)+1,0)</f>
        <v>0</v>
      </c>
      <c r="B16" s="1">
        <f>회계코드!$C20</f>
        <v>0</v>
      </c>
      <c r="C16" s="1" t="str">
        <f>IFERROR(VLOOKUP(ROWS($C$2:C16),$A$2:$B$21,2,FALSE),"")</f>
        <v/>
      </c>
      <c r="E16" s="1">
        <f>IF(ISNUMBER(SEARCH(E$1,F16)),MAX($E$1:$E15)+1,0)</f>
        <v>0</v>
      </c>
      <c r="F16" s="1">
        <f>회계코드!$C20</f>
        <v>0</v>
      </c>
      <c r="G16" s="1" t="str">
        <f>IFERROR(VLOOKUP(ROWS($G$2:G16),$E$2:$F$21,2,FALSE),"")</f>
        <v/>
      </c>
    </row>
    <row r="17" spans="1:7">
      <c r="A17" s="1">
        <f>IF(ISNUMBER(SEARCH(A$1,B17)),MAX($A$1:$A16)+1,0)</f>
        <v>0</v>
      </c>
      <c r="B17" s="1">
        <f>회계코드!$C21</f>
        <v>0</v>
      </c>
      <c r="C17" s="1" t="str">
        <f>IFERROR(VLOOKUP(ROWS($C$2:C17),$A$2:$B$21,2,FALSE),"")</f>
        <v/>
      </c>
      <c r="E17" s="1">
        <f>IF(ISNUMBER(SEARCH(E$1,F17)),MAX($E$1:$E16)+1,0)</f>
        <v>0</v>
      </c>
      <c r="F17" s="1">
        <f>회계코드!$C21</f>
        <v>0</v>
      </c>
      <c r="G17" s="1" t="str">
        <f>IFERROR(VLOOKUP(ROWS($G$2:G17),$E$2:$F$21,2,FALSE),"")</f>
        <v/>
      </c>
    </row>
    <row r="18" spans="1:7">
      <c r="A18" s="1">
        <f>IF(ISNUMBER(SEARCH(A$1,B18)),MAX($A$1:$A17)+1,0)</f>
        <v>0</v>
      </c>
      <c r="B18" s="1">
        <f>회계코드!$C22</f>
        <v>0</v>
      </c>
      <c r="C18" s="1" t="str">
        <f>IFERROR(VLOOKUP(ROWS($C$2:C18),$A$2:$B$21,2,FALSE),"")</f>
        <v/>
      </c>
      <c r="E18" s="1">
        <f>IF(ISNUMBER(SEARCH(E$1,F18)),MAX($E$1:$E17)+1,0)</f>
        <v>0</v>
      </c>
      <c r="F18" s="1">
        <f>회계코드!$C22</f>
        <v>0</v>
      </c>
      <c r="G18" s="1" t="str">
        <f>IFERROR(VLOOKUP(ROWS($G$2:G18),$E$2:$F$21,2,FALSE),"")</f>
        <v/>
      </c>
    </row>
    <row r="19" spans="1:7">
      <c r="A19" s="1">
        <f>IF(ISNUMBER(SEARCH(A$1,B19)),MAX($A$1:$A18)+1,0)</f>
        <v>0</v>
      </c>
      <c r="B19" s="1">
        <f>회계코드!$C23</f>
        <v>0</v>
      </c>
      <c r="C19" s="1" t="str">
        <f>IFERROR(VLOOKUP(ROWS($C$2:C19),$A$2:$B$21,2,FALSE),"")</f>
        <v/>
      </c>
      <c r="E19" s="1">
        <f>IF(ISNUMBER(SEARCH(E$1,F19)),MAX($E$1:$E18)+1,0)</f>
        <v>0</v>
      </c>
      <c r="F19" s="1">
        <f>회계코드!$C23</f>
        <v>0</v>
      </c>
      <c r="G19" s="1" t="str">
        <f>IFERROR(VLOOKUP(ROWS($G$2:G19),$E$2:$F$21,2,FALSE),"")</f>
        <v/>
      </c>
    </row>
    <row r="20" spans="1:7">
      <c r="A20" s="1">
        <f>IF(ISNUMBER(SEARCH(A$1,B20)),MAX($A$1:$A19)+1,0)</f>
        <v>0</v>
      </c>
      <c r="B20" s="1">
        <f>회계코드!$C24</f>
        <v>0</v>
      </c>
      <c r="C20" s="1" t="str">
        <f>IFERROR(VLOOKUP(ROWS($C$2:C20),$A$2:$B$21,2,FALSE),"")</f>
        <v/>
      </c>
      <c r="E20" s="1">
        <f>IF(ISNUMBER(SEARCH(E$1,F20)),MAX($E$1:$E19)+1,0)</f>
        <v>0</v>
      </c>
      <c r="F20" s="1">
        <f>회계코드!$C24</f>
        <v>0</v>
      </c>
      <c r="G20" s="1" t="str">
        <f>IFERROR(VLOOKUP(ROWS($G$2:G20),$E$2:$F$21,2,FALSE),"")</f>
        <v/>
      </c>
    </row>
    <row r="21" spans="1:7">
      <c r="A21" s="1">
        <f>IF(ISNUMBER(SEARCH(A$1,B21)),MAX($A$1:$A20)+1,0)</f>
        <v>0</v>
      </c>
      <c r="B21" s="1">
        <f>회계코드!$C25</f>
        <v>0</v>
      </c>
      <c r="C21" s="1" t="str">
        <f>IFERROR(VLOOKUP(ROWS($C$2:C21),$A$2:$B$21,2,FALSE),"")</f>
        <v/>
      </c>
      <c r="E21" s="1">
        <f>IF(ISNUMBER(SEARCH(E$1,F21)),MAX($E$1:$E20)+1,0)</f>
        <v>0</v>
      </c>
      <c r="F21" s="1">
        <f>회계코드!$C25</f>
        <v>0</v>
      </c>
      <c r="G21" s="1" t="str">
        <f>IFERROR(VLOOKUP(ROWS($G$2:G21),$E$2:$F$21,2,FALSE),"")</f>
        <v/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O48"/>
  <sheetViews>
    <sheetView showGridLines="0" showRowColHeaders="0" zoomScale="85" zoomScaleNormal="85" workbookViewId="0">
      <selection activeCell="B3" sqref="B3:E3"/>
    </sheetView>
  </sheetViews>
  <sheetFormatPr defaultColWidth="9" defaultRowHeight="25" customHeight="1"/>
  <cols>
    <col min="1" max="1" width="7.75" style="1" customWidth="1"/>
    <col min="2" max="2" width="9.08203125" style="1" customWidth="1"/>
    <col min="3" max="3" width="18" style="2" customWidth="1"/>
    <col min="4" max="4" width="9.08203125" style="2" customWidth="1"/>
    <col min="5" max="5" width="4.75" style="2" customWidth="1"/>
    <col min="6" max="6" width="15.08203125" style="1" customWidth="1"/>
    <col min="7" max="7" width="8.75" style="1" customWidth="1"/>
    <col min="8" max="8" width="19.75" style="1" customWidth="1"/>
    <col min="9" max="9" width="9" style="1"/>
    <col min="10" max="10" width="11.5" style="48" hidden="1" customWidth="1"/>
    <col min="11" max="11" width="13.1640625" style="48" hidden="1" customWidth="1"/>
    <col min="12" max="12" width="10" style="48" hidden="1" customWidth="1"/>
    <col min="13" max="14" width="9" style="1"/>
    <col min="15" max="15" width="10.83203125" style="1" bestFit="1" customWidth="1"/>
    <col min="16" max="16384" width="9" style="1"/>
  </cols>
  <sheetData>
    <row r="1" spans="1:12" ht="41.25" customHeight="1">
      <c r="A1" s="322" t="s">
        <v>0</v>
      </c>
      <c r="B1" s="323"/>
      <c r="C1" s="323"/>
      <c r="D1" s="323"/>
      <c r="E1" s="323"/>
      <c r="F1" s="323"/>
      <c r="G1" s="323"/>
      <c r="H1" s="323"/>
    </row>
    <row r="2" spans="1:12" ht="15.75" customHeight="1" thickBot="1">
      <c r="A2" s="268" t="str">
        <f>IF(K15&gt;33,"동일자에 지출항목이 33개를 초과할 수 없습니다",IF(L15&gt;21,"동일자에 입금항목이 21개를 초과할 수 없습니다.",""))</f>
        <v/>
      </c>
      <c r="B2" s="268"/>
      <c r="C2" s="268"/>
      <c r="D2" s="268"/>
      <c r="E2" s="268"/>
      <c r="F2" s="268"/>
      <c r="G2" s="268"/>
      <c r="H2" s="268"/>
    </row>
    <row r="3" spans="1:12" ht="25" customHeight="1">
      <c r="A3" s="202" t="s">
        <v>15</v>
      </c>
      <c r="B3" s="280">
        <v>44929</v>
      </c>
      <c r="C3" s="280"/>
      <c r="D3" s="280"/>
      <c r="E3" s="280"/>
      <c r="F3" s="282" t="s">
        <v>16</v>
      </c>
      <c r="G3" s="282"/>
      <c r="H3" s="203"/>
    </row>
    <row r="4" spans="1:12" ht="25" customHeight="1" thickBot="1">
      <c r="A4" s="204" t="s">
        <v>17</v>
      </c>
      <c r="B4" s="205"/>
      <c r="C4" s="206"/>
      <c r="D4" s="206" t="s">
        <v>18</v>
      </c>
      <c r="E4" s="281"/>
      <c r="F4" s="281"/>
      <c r="G4" s="205" t="s">
        <v>19</v>
      </c>
      <c r="H4" s="207"/>
    </row>
    <row r="5" spans="1:12" ht="25" customHeight="1" thickBot="1">
      <c r="A5" s="208" t="s">
        <v>20</v>
      </c>
      <c r="B5" s="209" t="s">
        <v>21</v>
      </c>
      <c r="C5" s="283" t="str">
        <f ca="1">NUMBERSTRING(H14,1) &amp; " 원정"</f>
        <v>오만 원정</v>
      </c>
      <c r="D5" s="283"/>
      <c r="E5" s="283"/>
      <c r="F5" s="283"/>
      <c r="G5" s="284">
        <f ca="1">H14</f>
        <v>50000</v>
      </c>
      <c r="H5" s="285"/>
    </row>
    <row r="6" spans="1:12" ht="25" customHeight="1">
      <c r="A6" s="269" t="s">
        <v>221</v>
      </c>
      <c r="B6" s="276" t="str">
        <f>IF(K16&lt;&gt;"",INDEX(회계장부!$B:$B,K16,1),"")</f>
        <v>1월 생일자 선물</v>
      </c>
      <c r="C6" s="277"/>
      <c r="D6" s="271">
        <f>IF(K16&lt;&gt;"",INDEX(회계장부!$D:$D,K16,1),"")</f>
        <v>50000</v>
      </c>
      <c r="E6" s="272"/>
      <c r="F6" s="277" t="str">
        <f ca="1">IF(K25&lt;&gt;"",INDEX(회계장부!$B:$B,K25,1),"")</f>
        <v/>
      </c>
      <c r="G6" s="277"/>
      <c r="H6" s="210" t="str">
        <f ca="1">IF(K25&lt;&gt;"",INDEX(회계장부!$D:$D,K25,1),"")</f>
        <v/>
      </c>
    </row>
    <row r="7" spans="1:12" ht="25" customHeight="1">
      <c r="A7" s="270"/>
      <c r="B7" s="278" t="str">
        <f ca="1">IF(K17&lt;&gt;"",INDEX(회계장부!$B:$B,K17,1),"")</f>
        <v/>
      </c>
      <c r="C7" s="279"/>
      <c r="D7" s="273" t="str">
        <f ca="1">IF(K17&lt;&gt;"",INDEX(회계장부!$D:$D,K17,1),"")</f>
        <v/>
      </c>
      <c r="E7" s="273"/>
      <c r="F7" s="289" t="str">
        <f ca="1">IF(K26&lt;&gt;"",INDEX(회계장부!$B:$B,K26,1),"")</f>
        <v/>
      </c>
      <c r="G7" s="289"/>
      <c r="H7" s="211" t="str">
        <f ca="1">IF(K26&lt;&gt;"",INDEX(회계장부!$D:$D,K26,1),"")</f>
        <v/>
      </c>
    </row>
    <row r="8" spans="1:12" ht="25" customHeight="1">
      <c r="A8" s="270"/>
      <c r="B8" s="278" t="str">
        <f ca="1">IF(K18&lt;&gt;"",INDEX(회계장부!$B:$B,K18,1),"")</f>
        <v/>
      </c>
      <c r="C8" s="279"/>
      <c r="D8" s="273" t="str">
        <f ca="1">IF(K18&lt;&gt;"",INDEX(회계장부!$D:$D,K18,1),"")</f>
        <v/>
      </c>
      <c r="E8" s="273"/>
      <c r="F8" s="289" t="str">
        <f ca="1">IF(K27&lt;&gt;"",INDEX(회계장부!$B:$B,K27,1),"")</f>
        <v/>
      </c>
      <c r="G8" s="289"/>
      <c r="H8" s="211" t="str">
        <f ca="1">IF(K27&lt;&gt;"",INDEX(회계장부!$D:$D,K27,1),"")</f>
        <v/>
      </c>
    </row>
    <row r="9" spans="1:12" ht="25" customHeight="1">
      <c r="A9" s="270"/>
      <c r="B9" s="278" t="str">
        <f ca="1">IF(K19&lt;&gt;"",INDEX(회계장부!$B:$B,K19,1),"")</f>
        <v/>
      </c>
      <c r="C9" s="279"/>
      <c r="D9" s="273" t="str">
        <f ca="1">IF(K19&lt;&gt;"",INDEX(회계장부!$D:$D,K19,1),"")</f>
        <v/>
      </c>
      <c r="E9" s="273"/>
      <c r="F9" s="289" t="str">
        <f ca="1">IF(K28&lt;&gt;"",INDEX(회계장부!$B:$B,K28,1),"")</f>
        <v/>
      </c>
      <c r="G9" s="289"/>
      <c r="H9" s="211" t="str">
        <f ca="1">IF(K28&lt;&gt;"",INDEX(회계장부!$D:$D,K28,1),"")</f>
        <v/>
      </c>
    </row>
    <row r="10" spans="1:12" ht="25" customHeight="1">
      <c r="A10" s="270"/>
      <c r="B10" s="278" t="str">
        <f ca="1">IF(K20&lt;&gt;"",INDEX(회계장부!$B:$B,K20,1),"")</f>
        <v/>
      </c>
      <c r="C10" s="279"/>
      <c r="D10" s="273" t="str">
        <f ca="1">IF(K20&lt;&gt;"",INDEX(회계장부!$D:$D,K20,1),"")</f>
        <v/>
      </c>
      <c r="E10" s="273"/>
      <c r="F10" s="289" t="str">
        <f ca="1">IF(K29&lt;&gt;"",INDEX(회계장부!$B:$B,K29,1),"")</f>
        <v/>
      </c>
      <c r="G10" s="289"/>
      <c r="H10" s="211" t="str">
        <f ca="1">IF(K29&lt;&gt;"",INDEX(회계장부!$D:$D,K29,1),"")</f>
        <v/>
      </c>
    </row>
    <row r="11" spans="1:12" ht="25" customHeight="1">
      <c r="A11" s="270"/>
      <c r="B11" s="278" t="str">
        <f ca="1">IF(K21&lt;&gt;"",INDEX(회계장부!$B:$B,K21,1),"")</f>
        <v/>
      </c>
      <c r="C11" s="279"/>
      <c r="D11" s="273" t="str">
        <f ca="1">IF(K21&lt;&gt;"",INDEX(회계장부!$D:$D,K21,1),"")</f>
        <v/>
      </c>
      <c r="E11" s="273"/>
      <c r="F11" s="289" t="str">
        <f ca="1">IF(K30&lt;&gt;"",INDEX(회계장부!$B:$B,K30,1),"")</f>
        <v/>
      </c>
      <c r="G11" s="289"/>
      <c r="H11" s="211" t="str">
        <f ca="1">IF(K30&lt;&gt;"",INDEX(회계장부!$D:$D,K30,1),"")</f>
        <v/>
      </c>
    </row>
    <row r="12" spans="1:12" ht="25" customHeight="1">
      <c r="A12" s="270"/>
      <c r="B12" s="278" t="str">
        <f ca="1">IF(K22&lt;&gt;"",INDEX(회계장부!$B:$B,K22,1),"")</f>
        <v/>
      </c>
      <c r="C12" s="279"/>
      <c r="D12" s="273" t="str">
        <f ca="1">IF(K22&lt;&gt;"",INDEX(회계장부!$D:$D,K22,1),"")</f>
        <v/>
      </c>
      <c r="E12" s="273"/>
      <c r="F12" s="289" t="str">
        <f ca="1">IF(K31&lt;&gt;"",INDEX(회계장부!$B:$B,K31,1),"")</f>
        <v/>
      </c>
      <c r="G12" s="289"/>
      <c r="H12" s="211" t="str">
        <f ca="1">IF(K31&lt;&gt;"",INDEX(회계장부!$D:$D,K31,1),"")</f>
        <v/>
      </c>
      <c r="L12" s="49"/>
    </row>
    <row r="13" spans="1:12" ht="25" customHeight="1" thickBot="1">
      <c r="A13" s="270"/>
      <c r="B13" s="278" t="str">
        <f ca="1">IF(K23&lt;&gt;"",INDEX(회계장부!$B:$B,K23,1),"")</f>
        <v/>
      </c>
      <c r="C13" s="279"/>
      <c r="D13" s="273" t="str">
        <f ca="1">IF(K23&lt;&gt;"",INDEX(회계장부!$D:$D,K23,1),"")</f>
        <v/>
      </c>
      <c r="E13" s="273"/>
      <c r="F13" s="290" t="str">
        <f ca="1">IF(K15&gt;17,"&lt;&lt; 다음면에 계속 &gt;&gt;",IF(K32&lt;&gt;"",INDEX(회계장부!$B:$B,K32,1),""))</f>
        <v/>
      </c>
      <c r="G13" s="290"/>
      <c r="H13" s="212" t="str">
        <f ca="1">IF(K15&gt;17,"",IF(K32&lt;&gt;"",INDEX(회계장부!$D:$D,K32,1),""))</f>
        <v/>
      </c>
      <c r="J13" s="50">
        <f>COUNTA(회계장부!$A:$A)</f>
        <v>3</v>
      </c>
      <c r="K13" s="50"/>
      <c r="L13" s="51"/>
    </row>
    <row r="14" spans="1:12" ht="25" customHeight="1" thickBot="1">
      <c r="A14" s="270"/>
      <c r="B14" s="320" t="str">
        <f ca="1">IF(K24&lt;&gt;"",INDEX(회계장부!$B:$B,K24,1),"")</f>
        <v/>
      </c>
      <c r="C14" s="321"/>
      <c r="D14" s="274" t="str">
        <f ca="1">IF(K24&lt;&gt;"",INDEX(회계장부!$D:$D,K24,1),"")</f>
        <v/>
      </c>
      <c r="E14" s="275"/>
      <c r="F14" s="291" t="s">
        <v>97</v>
      </c>
      <c r="G14" s="292"/>
      <c r="H14" s="213">
        <f ca="1">IF(A2="",IF(K15&gt;17,SUM(D6:E14,H6:H12,'결의서(추가)'!D6:E14,'결의서(추가)'!H6:H13),SUM('결의서(기본)'!D6:E14,'결의서(기본)'!H6:H13)),"에러입니다")</f>
        <v>50000</v>
      </c>
      <c r="J14" s="50"/>
      <c r="K14" s="52" t="s">
        <v>48</v>
      </c>
      <c r="L14" s="53" t="s">
        <v>95</v>
      </c>
    </row>
    <row r="15" spans="1:12" ht="25" customHeight="1" thickTop="1" thickBot="1">
      <c r="A15" s="270" t="s">
        <v>23</v>
      </c>
      <c r="B15" s="294" t="s">
        <v>24</v>
      </c>
      <c r="C15" s="294"/>
      <c r="D15" s="301" t="s">
        <v>40</v>
      </c>
      <c r="E15" s="301"/>
      <c r="F15" s="302"/>
      <c r="G15" s="286" t="s">
        <v>25</v>
      </c>
      <c r="H15" s="287"/>
      <c r="J15" s="56" t="s">
        <v>96</v>
      </c>
      <c r="K15" s="54">
        <f>COUNTIFS(회계장부!$A:$A,기준일자,회계장부!$G:$G,K$14)</f>
        <v>1</v>
      </c>
      <c r="L15" s="55">
        <f>COUNTIFS(회계장부!$A:$A,기준일자,회계장부!$G:$G,L$14)</f>
        <v>0</v>
      </c>
    </row>
    <row r="16" spans="1:12" ht="25" customHeight="1">
      <c r="A16" s="270"/>
      <c r="B16" s="214" t="s">
        <v>26</v>
      </c>
      <c r="C16" s="215">
        <f>SUMIFS(회계장부!C:C,회계장부!K:K,"자체헌금",회계장부!A:A,기준일자)</f>
        <v>0</v>
      </c>
      <c r="D16" s="214" t="s">
        <v>26</v>
      </c>
      <c r="E16" s="288">
        <f>SUMIFS(회계장부!C:C,회계장부!K:K,"교회보조금",회계장부!A:A,기준일자)</f>
        <v>0</v>
      </c>
      <c r="F16" s="288"/>
      <c r="G16" s="214" t="s">
        <v>26</v>
      </c>
      <c r="H16" s="216">
        <f>SUMIFS(회계장부!C:C,회계장부!K:K,"기타",회계장부!A:A,기준일자)</f>
        <v>0</v>
      </c>
      <c r="J16" s="56">
        <v>1</v>
      </c>
      <c r="K16" s="57">
        <f t="array" ref="K16">IF($J16&lt;=K$15,MATCH(1,(회계장부!$A:$A=기준일자)*(회계장부!$G:$G=K$14),0),"")</f>
        <v>3</v>
      </c>
      <c r="L16" s="57" t="str">
        <f t="array" ref="L16">IF($J16&lt;=L$15,MATCH(1,(회계장부!$A:$A=기준일자)*(회계장부!$G:$G=L$14),0),"")</f>
        <v/>
      </c>
    </row>
    <row r="17" spans="1:15" ht="25" customHeight="1">
      <c r="A17" s="270"/>
      <c r="B17" s="214" t="s">
        <v>27</v>
      </c>
      <c r="C17" s="215">
        <f>SUMIFS(회계장부!C:C,회계장부!K:K,"자체헌금",회계장부!A:A,"&lt;="&amp;기준일자)</f>
        <v>0</v>
      </c>
      <c r="D17" s="214" t="s">
        <v>27</v>
      </c>
      <c r="E17" s="288">
        <f>SUMIFS(회계장부!C:C,회계장부!K:K,"교회보조금",회계장부!A:A,"&lt;="&amp;기준일자)</f>
        <v>0</v>
      </c>
      <c r="F17" s="288"/>
      <c r="G17" s="214" t="s">
        <v>27</v>
      </c>
      <c r="H17" s="216">
        <f>SUMIFS(회계장부!C:C,회계장부!K:K,"기타",회계장부!A:A,"&lt;="&amp;기준일자)</f>
        <v>270000</v>
      </c>
      <c r="J17" s="56">
        <v>2</v>
      </c>
      <c r="K17" s="58" t="str" cm="1">
        <f t="array" aca="1" ref="K17" ca="1">IF($J17&lt;=K$15,MATCH(1,(OFFSET(회계장부!$A$1,K16,,$J$13-K16+1,)=기준일자)*(OFFSET(회계장부!$G$1,K16,,$J$13-K16+1,)=K$14),0)+K16,"")</f>
        <v/>
      </c>
      <c r="L17" s="58" t="str">
        <f t="array" aca="1" ref="L17" ca="1">IF($J17&lt;=L$15,MATCH(1,(OFFSET(회계장부!$A$1,L16,,$J$13-L16+1,)=기준일자)*(OFFSET(회계장부!$G$1,L16,,$J$13-L16+1,)=L$14),0)+L16,"")</f>
        <v/>
      </c>
      <c r="O17" s="3"/>
    </row>
    <row r="18" spans="1:15" ht="25" customHeight="1">
      <c r="A18" s="270" t="s">
        <v>28</v>
      </c>
      <c r="B18" s="214" t="s">
        <v>26</v>
      </c>
      <c r="C18" s="215">
        <f>SUMIFS(회계장부!D:D,회계장부!G:G,"지출항목",회계장부!A:A,기준일자)</f>
        <v>50000</v>
      </c>
      <c r="D18" s="217" t="s">
        <v>29</v>
      </c>
      <c r="E18" s="303">
        <f>C17+E17+H17</f>
        <v>270000</v>
      </c>
      <c r="F18" s="304"/>
      <c r="G18" s="294" t="s">
        <v>30</v>
      </c>
      <c r="H18" s="298"/>
      <c r="J18" s="56">
        <v>3</v>
      </c>
      <c r="K18" s="58" t="str">
        <f t="array" aca="1" ref="K18" ca="1">IF($J18&lt;=K$15,MATCH(1,(OFFSET(회계장부!$A$1,K17,,$J$13-K17+1,)=기준일자)*(OFFSET(회계장부!$G$1,K17,,$J$13-K17+1,)=K$14),0)+K17,"")</f>
        <v/>
      </c>
      <c r="L18" s="58" t="str">
        <f t="array" aca="1" ref="L18" ca="1">IF($J18&lt;=L$15,MATCH(1,(OFFSET(회계장부!$A$1,L17,,$J$13-L17+1,)=기준일자)*(OFFSET(회계장부!$G$1,L17,,$J$13-L17+1,)=L$14),0)+L17,"")</f>
        <v/>
      </c>
    </row>
    <row r="19" spans="1:15" ht="25" customHeight="1">
      <c r="A19" s="270"/>
      <c r="B19" s="214" t="s">
        <v>27</v>
      </c>
      <c r="C19" s="215">
        <f>SUMIFS(회계장부!D:D,회계장부!G:G,"지출항목",회계장부!A:A,"&lt;="&amp;기준일자)</f>
        <v>50000</v>
      </c>
      <c r="D19" s="217" t="s">
        <v>31</v>
      </c>
      <c r="E19" s="303">
        <f>C17+E17+H17-C19</f>
        <v>220000</v>
      </c>
      <c r="F19" s="304"/>
      <c r="G19" s="299" t="s">
        <v>32</v>
      </c>
      <c r="H19" s="300"/>
      <c r="J19" s="56">
        <v>4</v>
      </c>
      <c r="K19" s="58" t="str">
        <f t="array" aca="1" ref="K19" ca="1">IF($J19&lt;=K$15,MATCH(1,(OFFSET(회계장부!$A$1,K18,,$J$13-K18+1,)=기준일자)*(OFFSET(회계장부!$G$1,K18,,$J$13-K18+1,)=K$14),0)+K18,"")</f>
        <v/>
      </c>
      <c r="L19" s="58" t="str">
        <f t="array" aca="1" ref="L19" ca="1">IF($J19&lt;=L$15,MATCH(1,(OFFSET(회계장부!$A$1,L18,,$J$13-L18+1,)=기준일자)*(OFFSET(회계장부!$G$1,L18,,$J$13-L18+1,)=L$14),0)+L18,"")</f>
        <v/>
      </c>
    </row>
    <row r="20" spans="1:15" ht="25" customHeight="1">
      <c r="A20" s="269" t="s">
        <v>222</v>
      </c>
      <c r="B20" s="295" t="str">
        <f>IF(L16&lt;&gt;"",INDEX(회계장부!$B:$B,L16,1),"")</f>
        <v/>
      </c>
      <c r="C20" s="296"/>
      <c r="D20" s="308" t="str">
        <f>IF(L16&lt;&gt;"",INDEX(회계장부!$C:$C,L16,1),"")</f>
        <v/>
      </c>
      <c r="E20" s="309"/>
      <c r="F20" s="296" t="str">
        <f ca="1">IF(L22&lt;&gt;"",INDEX(회계장부!$B:$B,L22,1),"")</f>
        <v/>
      </c>
      <c r="G20" s="296"/>
      <c r="H20" s="218" t="str">
        <f ca="1">IF(L22&lt;&gt;"",INDEX(회계장부!$C:$C,L22,1),"")</f>
        <v/>
      </c>
      <c r="J20" s="56">
        <v>5</v>
      </c>
      <c r="K20" s="58" t="str">
        <f t="array" aca="1" ref="K20" ca="1">IF($J20&lt;=K$15,MATCH(1,(OFFSET(회계장부!$A$1,K19,,$J$13-K19+1,)=기준일자)*(OFFSET(회계장부!$G$1,K19,,$J$13-K19+1,)=K$14),0)+K19,"")</f>
        <v/>
      </c>
      <c r="L20" s="58" t="str">
        <f t="array" aca="1" ref="L20" ca="1">IF($J20&lt;=L$15,MATCH(1,(OFFSET(회계장부!$A$1,L19,,$J$13-L19+1,)=기준일자)*(OFFSET(회계장부!$G$1,L19,,$J$13-L19+1,)=L$14),0)+L19,"")</f>
        <v/>
      </c>
      <c r="N20" s="60"/>
    </row>
    <row r="21" spans="1:15" ht="25" customHeight="1">
      <c r="A21" s="270"/>
      <c r="B21" s="297" t="str">
        <f ca="1">IF(L17&lt;&gt;"",INDEX(회계장부!$B:$B,L17,1),"")</f>
        <v/>
      </c>
      <c r="C21" s="289"/>
      <c r="D21" s="310" t="str">
        <f ca="1">IF(L17&lt;&gt;"",INDEX(회계장부!$C:$C,L17,1),"")</f>
        <v/>
      </c>
      <c r="E21" s="311"/>
      <c r="F21" s="305" t="str">
        <f ca="1">IF(L23&lt;&gt;"",INDEX(회계장부!$B:$B,L23,1),"")</f>
        <v/>
      </c>
      <c r="G21" s="279"/>
      <c r="H21" s="211" t="str">
        <f ca="1">IF(L23&lt;&gt;"",INDEX(회계장부!$C:$C,L23,1),"")</f>
        <v/>
      </c>
      <c r="J21" s="56">
        <v>6</v>
      </c>
      <c r="K21" s="58" t="str">
        <f t="array" aca="1" ref="K21" ca="1">IF($J21&lt;=K$15,MATCH(1,(OFFSET(회계장부!$A$1,K20,,$J$13-K20+1,)=기준일자)*(OFFSET(회계장부!$G$1,K20,,$J$13-K20+1,)=K$14),0)+K20,"")</f>
        <v/>
      </c>
      <c r="L21" s="58" t="str">
        <f t="array" aca="1" ref="L21" ca="1">IF($J21&lt;=L$15,MATCH(1,(OFFSET(회계장부!$A$1,L20,,$J$13-L20+1,)=기준일자)*(OFFSET(회계장부!$G$1,L20,,$J$13-L20+1,)=L$14),0)+L20,"")</f>
        <v/>
      </c>
    </row>
    <row r="22" spans="1:15" ht="25" customHeight="1">
      <c r="A22" s="270"/>
      <c r="B22" s="297" t="str">
        <f ca="1">IF(L18&lt;&gt;"",INDEX(회계장부!$B:$B,L18,1),"")</f>
        <v/>
      </c>
      <c r="C22" s="289"/>
      <c r="D22" s="310" t="str">
        <f ca="1">IF(L18&lt;&gt;"",INDEX(회계장부!$C:$C,L18,1),"")</f>
        <v/>
      </c>
      <c r="E22" s="311"/>
      <c r="F22" s="305" t="str">
        <f ca="1">IF(L24&lt;&gt;"",INDEX(회계장부!$B:$B,L24,1),"")</f>
        <v/>
      </c>
      <c r="G22" s="279"/>
      <c r="H22" s="211" t="str">
        <f ca="1">IF(L24&lt;&gt;"",INDEX(회계장부!$C:$C,L24,1),"")</f>
        <v/>
      </c>
      <c r="J22" s="56">
        <v>7</v>
      </c>
      <c r="K22" s="58" t="str">
        <f t="array" aca="1" ref="K22" ca="1">IF($J22&lt;=K$15,MATCH(1,(OFFSET(회계장부!$A$1,K21,,$J$13-K21+1,)=기준일자)*(OFFSET(회계장부!$G$1,K21,,$J$13-K21+1,)=K$14),0)+K21,"")</f>
        <v/>
      </c>
      <c r="L22" s="58" t="str">
        <f t="array" aca="1" ref="L22" ca="1">IF($J22&lt;=L$15,MATCH(1,(OFFSET(회계장부!$A$1,L21,,$J$13-L21+1,)=기준일자)*(OFFSET(회계장부!$G$1,L21,,$J$13-L21+1,)=L$14),0)+L21,"")</f>
        <v/>
      </c>
    </row>
    <row r="23" spans="1:15" ht="25" customHeight="1">
      <c r="A23" s="270"/>
      <c r="B23" s="297" t="str">
        <f ca="1">IF(L19&lt;&gt;"",INDEX(회계장부!$B:$B,L19,1),"")</f>
        <v/>
      </c>
      <c r="C23" s="289"/>
      <c r="D23" s="310" t="str">
        <f ca="1">IF(L19&lt;&gt;"",INDEX(회계장부!$C:$C,L19,1),"")</f>
        <v/>
      </c>
      <c r="E23" s="311"/>
      <c r="F23" s="305" t="str">
        <f ca="1">IF(L25&lt;&gt;"",INDEX(회계장부!$B:$B,L25,1),"")</f>
        <v/>
      </c>
      <c r="G23" s="279"/>
      <c r="H23" s="211" t="str">
        <f ca="1">IF(L25&lt;&gt;"",INDEX(회계장부!$C:$C,L25,1),"")</f>
        <v/>
      </c>
      <c r="J23" s="56">
        <v>8</v>
      </c>
      <c r="K23" s="58" t="str">
        <f t="array" aca="1" ref="K23" ca="1">IF($J23&lt;=K$15,MATCH(1,(OFFSET(회계장부!$A$1,K22,,$J$13-K22+1,)=기준일자)*(OFFSET(회계장부!$G$1,K22,,$J$13-K22+1,)=K$14),0)+K22,"")</f>
        <v/>
      </c>
      <c r="L23" s="58" t="str">
        <f t="array" aca="1" ref="L23" ca="1">IF($J23&lt;=L$15,MATCH(1,(OFFSET(회계장부!$A$1,L22,,$J$13-L22+1,)=기준일자)*(OFFSET(회계장부!$G$1,L22,,$J$13-L22+1,)=L$14),0)+L22,"")</f>
        <v/>
      </c>
    </row>
    <row r="24" spans="1:15" ht="25" customHeight="1" thickBot="1">
      <c r="A24" s="270"/>
      <c r="B24" s="297" t="str">
        <f ca="1">IF(L20&lt;&gt;"",INDEX(회계장부!$B:$B,L20,1),"")</f>
        <v/>
      </c>
      <c r="C24" s="289"/>
      <c r="D24" s="310" t="str">
        <f ca="1">IF(L20&lt;&gt;"",INDEX(회계장부!$C:$C,L20,1),"")</f>
        <v/>
      </c>
      <c r="E24" s="311"/>
      <c r="F24" s="306" t="str">
        <f ca="1">IF(L15&gt;11,"&lt;&lt; 다음면에 계속 &gt;&gt;",IF(L26&lt;&gt;"",INDEX(회계장부!$B:$B,L26,1),""))</f>
        <v/>
      </c>
      <c r="G24" s="307"/>
      <c r="H24" s="212" t="str">
        <f ca="1">IF(L15&gt;11,"",IF(L26&lt;&gt;"",INDEX(회계장부!$C:$C,L26,1),""))</f>
        <v/>
      </c>
      <c r="J24" s="56">
        <v>9</v>
      </c>
      <c r="K24" s="58" t="str">
        <f t="array" aca="1" ref="K24" ca="1">IF($J24&lt;=K$15,MATCH(1,(OFFSET(회계장부!$A$1,K23,,$J$13-K23+1,)=기준일자)*(OFFSET(회계장부!$G$1,K23,,$J$13-K23+1,)=K$14),0)+K23,"")</f>
        <v/>
      </c>
      <c r="L24" s="58" t="str">
        <f t="array" aca="1" ref="L24" ca="1">IF($J24&lt;=L$15,MATCH(1,(OFFSET(회계장부!$A$1,L23,,$J$13-L23+1,)=기준일자)*(OFFSET(회계장부!$G$1,L23,,$J$13-L23+1,)=L$14),0)+L23,"")</f>
        <v/>
      </c>
    </row>
    <row r="25" spans="1:15" ht="25" customHeight="1" thickBot="1">
      <c r="A25" s="270"/>
      <c r="B25" s="320" t="str">
        <f ca="1">IF(L21&lt;&gt;"",INDEX(회계장부!$B:$B,L21,1),"")</f>
        <v/>
      </c>
      <c r="C25" s="321"/>
      <c r="D25" s="274" t="str">
        <f ca="1">IF(L21&lt;&gt;"",INDEX(회계장부!$C:$C,L21,1),"")</f>
        <v/>
      </c>
      <c r="E25" s="275"/>
      <c r="F25" s="291" t="s">
        <v>98</v>
      </c>
      <c r="G25" s="292"/>
      <c r="H25" s="213">
        <f ca="1">IF(A2="",IF(L15&gt;11,SUM(D20:E25,H20:H23,'결의서(추가)'!D20:E25,'결의서(추가)'!H20:H24),SUM(D20:E25,H20:H24)),"에러입니다")</f>
        <v>0</v>
      </c>
      <c r="J25" s="56">
        <v>10</v>
      </c>
      <c r="K25" s="58" t="str">
        <f t="array" aca="1" ref="K25" ca="1">IF($J25&lt;=K$15,MATCH(1,(OFFSET(회계장부!$A$1,K24,,$J$13-K24+1,)=기준일자)*(OFFSET(회계장부!$G$1,K24,,$J$13-K24+1,)=K$14),0)+K24,"")</f>
        <v/>
      </c>
      <c r="L25" s="59" t="str">
        <f t="array" aca="1" ref="L25" ca="1">IF($J25&lt;=L$15,MATCH(1,(OFFSET(회계장부!$A$1,L24,,$J$13-L24+1,)=기준일자)*(OFFSET(회계장부!$G$1,L24,,$J$13-L24+1,)=L$14),0)+L24,"")</f>
        <v/>
      </c>
    </row>
    <row r="26" spans="1:15" ht="25" customHeight="1" thickBot="1">
      <c r="A26" s="270" t="s">
        <v>33</v>
      </c>
      <c r="B26" s="294" t="str">
        <f>결재란1</f>
        <v>회계</v>
      </c>
      <c r="C26" s="294"/>
      <c r="D26" s="325" t="str">
        <f>결재란2</f>
        <v>총무</v>
      </c>
      <c r="E26" s="325"/>
      <c r="F26" s="326"/>
      <c r="G26" s="327" t="str">
        <f>결재란3</f>
        <v>부장</v>
      </c>
      <c r="H26" s="328"/>
      <c r="J26" s="56">
        <v>11</v>
      </c>
      <c r="K26" s="61" t="str">
        <f t="array" aca="1" ref="K26" ca="1">IF($J26&lt;=K$15,MATCH(1,(OFFSET(회계장부!$A$1,K25,,$J$13-K25+1,)=기준일자)*(OFFSET(회계장부!$G$1,K25,,$J$13-K25+1,)=K$14),0)+K25,"")</f>
        <v/>
      </c>
      <c r="L26" s="69" t="str">
        <f t="array" aca="1" ref="L26" ca="1">IF($J26&lt;=L$15,MATCH(1,(OFFSET(회계장부!$A$1,L25,,$J$13-L25+1,)=기준일자)*(OFFSET(회계장부!$G$1,L25,,$J$13-L25+1,)=L$14),0)+L25,"")</f>
        <v/>
      </c>
    </row>
    <row r="27" spans="1:15" ht="25" customHeight="1" thickBot="1">
      <c r="A27" s="270"/>
      <c r="B27" s="329"/>
      <c r="C27" s="330"/>
      <c r="D27" s="312"/>
      <c r="E27" s="313"/>
      <c r="F27" s="314"/>
      <c r="G27" s="294"/>
      <c r="H27" s="298"/>
      <c r="J27" s="56">
        <v>12</v>
      </c>
      <c r="K27" s="61" t="str">
        <f t="array" aca="1" ref="K27" ca="1">IF($J27&lt;=K$15,MATCH(1,(OFFSET(회계장부!$A$1,K26,,$J$13-K26+1,)=기준일자)*(OFFSET(회계장부!$G$1,K26,,$J$13-K26+1,)=K$14),0)+K26,"")</f>
        <v/>
      </c>
      <c r="L27" s="69" t="str">
        <f t="array" aca="1" ref="L27" ca="1">IF($J27&lt;=L$15,MATCH(1,(OFFSET(회계장부!$A$1,L26,,$J$13-L26+1,)=기준일자)*(OFFSET(회계장부!$G$1,L26,,$J$13-L26+1,)=L$14),0)+L26,"")</f>
        <v/>
      </c>
    </row>
    <row r="28" spans="1:15" ht="25" customHeight="1" thickBot="1">
      <c r="A28" s="293"/>
      <c r="B28" s="331"/>
      <c r="C28" s="332"/>
      <c r="D28" s="315"/>
      <c r="E28" s="316"/>
      <c r="F28" s="317"/>
      <c r="G28" s="318"/>
      <c r="H28" s="319"/>
      <c r="J28" s="56">
        <v>13</v>
      </c>
      <c r="K28" s="61" t="str">
        <f t="array" aca="1" ref="K28" ca="1">IF($J28&lt;=K$15,MATCH(1,(OFFSET(회계장부!$A$1,K27,,$J$13-K27+1,)=기준일자)*(OFFSET(회계장부!$G$1,K27,,$J$13-K27+1,)=K$14),0)+K27,"")</f>
        <v/>
      </c>
      <c r="L28" s="69" t="str">
        <f t="array" aca="1" ref="L28" ca="1">IF($J28&lt;=L$15,MATCH(1,(OFFSET(회계장부!$A$1,L27,,$J$13-L27+1,)=기준일자)*(OFFSET(회계장부!$G$1,L27,,$J$13-L27+1,)=L$14),0)+L27,"")</f>
        <v/>
      </c>
    </row>
    <row r="29" spans="1:15" ht="25" customHeight="1" thickBot="1">
      <c r="A29" s="324" t="s">
        <v>34</v>
      </c>
      <c r="B29" s="324"/>
      <c r="C29" s="324"/>
      <c r="D29" s="324"/>
      <c r="E29" s="324"/>
      <c r="F29" s="324"/>
      <c r="G29" s="324"/>
      <c r="H29" s="324"/>
      <c r="J29" s="56">
        <v>14</v>
      </c>
      <c r="K29" s="61" t="str">
        <f t="array" aca="1" ref="K29" ca="1">IF($J29&lt;=K$15,MATCH(1,(OFFSET(회계장부!$A$1,K28,,$J$13-K28+1,)=기준일자)*(OFFSET(회계장부!$G$1,K28,,$J$13-K28+1,)=K$14),0)+K28,"")</f>
        <v/>
      </c>
      <c r="L29" s="69" t="str">
        <f t="array" aca="1" ref="L29" ca="1">IF($J29&lt;=L$15,MATCH(1,(OFFSET(회계장부!$A$1,L28,,$J$13-L28+1,)=기준일자)*(OFFSET(회계장부!$G$1,L28,,$J$13-L28+1,)=L$14),0)+L28,"")</f>
        <v/>
      </c>
    </row>
    <row r="30" spans="1:15" ht="25" customHeight="1" thickBot="1">
      <c r="J30" s="56">
        <v>15</v>
      </c>
      <c r="K30" s="61" t="str">
        <f t="array" aca="1" ref="K30" ca="1">IF($J30&lt;=K$15,MATCH(1,(OFFSET(회계장부!$A$1,K29,,$J$13-K29+1,)=기준일자)*(OFFSET(회계장부!$G$1,K29,,$J$13-K29+1,)=K$14),0)+K29,"")</f>
        <v/>
      </c>
      <c r="L30" s="69" t="str">
        <f t="array" aca="1" ref="L30" ca="1">IF($J30&lt;=L$15,MATCH(1,(OFFSET(회계장부!$A$1,L29,,$J$13-L29+1,)=기준일자)*(OFFSET(회계장부!$G$1,L29,,$J$13-L29+1,)=L$14),0)+L29,"")</f>
        <v/>
      </c>
    </row>
    <row r="31" spans="1:15" ht="25" customHeight="1" thickBot="1">
      <c r="J31" s="56">
        <v>16</v>
      </c>
      <c r="K31" s="62" t="str">
        <f t="array" aca="1" ref="K31" ca="1">IF($J31&lt;=K$15,MATCH(1,(OFFSET(회계장부!$A$1,K30,,$J$13-K30+1,)=기준일자)*(OFFSET(회계장부!$G$1,K30,,$J$13-K30+1,)=K$14),0)+K30,"")</f>
        <v/>
      </c>
      <c r="L31" s="69" t="str">
        <f t="array" aca="1" ref="L31" ca="1">IF($J31&lt;=L$15,MATCH(1,(OFFSET(회계장부!$A$1,L30,,$J$13-L30+1,)=기준일자)*(OFFSET(회계장부!$G$1,L30,,$J$13-L30+1,)=L$14),0)+L30,"")</f>
        <v/>
      </c>
    </row>
    <row r="32" spans="1:15" ht="25" customHeight="1" thickBot="1">
      <c r="J32" s="56">
        <v>17</v>
      </c>
      <c r="K32" s="68" t="str">
        <f t="array" aca="1" ref="K32" ca="1">IF($J32&lt;=K$15,MATCH(1,(OFFSET(회계장부!$A$1,K31,,$J$13-K31+1,)=기준일자)*(OFFSET(회계장부!$G$1,K31,,$J$13-K31+1,)=K$14),0)+K31,"")</f>
        <v/>
      </c>
      <c r="L32" s="69" t="str">
        <f t="array" aca="1" ref="L32" ca="1">IF($J32&lt;=L$15,MATCH(1,(OFFSET(회계장부!$A$1,L31,,$J$13-L31+1,)=기준일자)*(OFFSET(회계장부!$G$1,L31,,$J$13-L31+1,)=L$14),0)+L31,"")</f>
        <v/>
      </c>
    </row>
    <row r="33" spans="10:12" ht="25" customHeight="1" thickBot="1">
      <c r="J33" s="56">
        <v>18</v>
      </c>
      <c r="K33" s="64" t="str">
        <f t="array" aca="1" ref="K33" ca="1">IF($J33&lt;=K$15,MATCH(1,(OFFSET(회계장부!$A$1,K32,,$J$13-K32+1,)=기준일자)*(OFFSET(회계장부!$G$1,K32,,$J$13-K32+1,)=K$14),0)+K32,"")</f>
        <v/>
      </c>
      <c r="L33" s="69" t="str">
        <f t="array" aca="1" ref="L33" ca="1">IF($J33&lt;=L$15,MATCH(1,(OFFSET(회계장부!$A$1,L32,,$J$13-L32+1,)=기준일자)*(OFFSET(회계장부!$G$1,L32,,$J$13-L32+1,)=L$14),0)+L32,"")</f>
        <v/>
      </c>
    </row>
    <row r="34" spans="10:12" ht="25" customHeight="1" thickBot="1">
      <c r="J34" s="56">
        <v>19</v>
      </c>
      <c r="K34" s="65" t="str">
        <f t="array" aca="1" ref="K34" ca="1">IF($J34&lt;=K$15,MATCH(1,(OFFSET(회계장부!$A$1,K33,,$J$13-K33+1,)=기준일자)*(OFFSET(회계장부!$G$1,K33,,$J$13-K33+1,)=K$14),0)+K33,"")</f>
        <v/>
      </c>
      <c r="L34" s="69" t="str">
        <f t="array" aca="1" ref="L34" ca="1">IF($J34&lt;=L$15,MATCH(1,(OFFSET(회계장부!$A$1,L33,,$J$13-L33+1,)=기준일자)*(OFFSET(회계장부!$G$1,L33,,$J$13-L33+1,)=L$14),0)+L33,"")</f>
        <v/>
      </c>
    </row>
    <row r="35" spans="10:12" ht="25" customHeight="1" thickBot="1">
      <c r="J35" s="56">
        <v>20</v>
      </c>
      <c r="K35" s="65" t="str">
        <f t="array" aca="1" ref="K35" ca="1">IF($J35&lt;=K$15,MATCH(1,(OFFSET(회계장부!$A$1,K34,,$J$13-K34+1,)=기준일자)*(OFFSET(회계장부!$G$1,K34,,$J$13-K34+1,)=K$14),0)+K34,"")</f>
        <v/>
      </c>
      <c r="L35" s="69" t="str">
        <f t="array" aca="1" ref="L35" ca="1">IF($J35&lt;=L$15,MATCH(1,(OFFSET(회계장부!$A$1,L34,,$J$13-L34+1,)=기준일자)*(OFFSET(회계장부!$G$1,L34,,$J$13-L34+1,)=L$14),0)+L34,"")</f>
        <v/>
      </c>
    </row>
    <row r="36" spans="10:12" ht="25" customHeight="1" thickBot="1">
      <c r="J36" s="56">
        <v>21</v>
      </c>
      <c r="K36" s="65" t="str">
        <f t="array" aca="1" ref="K36" ca="1">IF($J36&lt;=K$15,MATCH(1,(OFFSET(회계장부!$A$1,K35,,$J$13-K35+1,)=기준일자)*(OFFSET(회계장부!$G$1,K35,,$J$13-K35+1,)=K$14),0)+K35,"")</f>
        <v/>
      </c>
      <c r="L36" s="69" t="str">
        <f t="array" aca="1" ref="L36" ca="1">IF($J36&lt;=L$15,MATCH(1,(OFFSET(회계장부!$A$1,L35,,$J$13-L35+1,)=기준일자)*(OFFSET(회계장부!$G$1,L35,,$J$13-L35+1,)=L$14),0)+L35,"")</f>
        <v/>
      </c>
    </row>
    <row r="37" spans="10:12" ht="25" customHeight="1">
      <c r="J37" s="56">
        <v>22</v>
      </c>
      <c r="K37" s="66" t="str">
        <f t="array" aca="1" ref="K37" ca="1">IF($J37&lt;=K$15,MATCH(1,(OFFSET(회계장부!$A$1,K36,,$J$13-K36+1,)=기준일자)*(OFFSET(회계장부!$G$1,K36,,$J$13-K36+1,)=K$14),0)+K36,"")</f>
        <v/>
      </c>
      <c r="L37" s="63"/>
    </row>
    <row r="38" spans="10:12" ht="25" customHeight="1">
      <c r="J38" s="56">
        <v>23</v>
      </c>
      <c r="K38" s="66" t="str">
        <f t="array" aca="1" ref="K38" ca="1">IF($J38&lt;=K$15,MATCH(1,(OFFSET(회계장부!$A$1,K37,,$J$13-K37+1,)=기준일자)*(OFFSET(회계장부!$G$1,K37,,$J$13-K37+1,)=K$14),0)+K37,"")</f>
        <v/>
      </c>
    </row>
    <row r="39" spans="10:12" ht="25" customHeight="1">
      <c r="J39" s="56">
        <v>24</v>
      </c>
      <c r="K39" s="66" t="str">
        <f t="array" aca="1" ref="K39" ca="1">IF($J39&lt;=K$15,MATCH(1,(OFFSET(회계장부!$A$1,K38,,$J$13-K38+1,)=기준일자)*(OFFSET(회계장부!$G$1,K38,,$J$13-K38+1,)=K$14),0)+K38,"")</f>
        <v/>
      </c>
    </row>
    <row r="40" spans="10:12" ht="25" customHeight="1">
      <c r="J40" s="56">
        <v>25</v>
      </c>
      <c r="K40" s="66" t="str">
        <f t="array" aca="1" ref="K40" ca="1">IF($J40&lt;=K$15,MATCH(1,(OFFSET(회계장부!$A$1,K39,,$J$13-K39+1,)=기준일자)*(OFFSET(회계장부!$G$1,K39,,$J$13-K39+1,)=K$14),0)+K39,"")</f>
        <v/>
      </c>
    </row>
    <row r="41" spans="10:12" ht="25" customHeight="1">
      <c r="J41" s="56">
        <v>26</v>
      </c>
      <c r="K41" s="66" t="str">
        <f t="array" aca="1" ref="K41" ca="1">IF($J41&lt;=K$15,MATCH(1,(OFFSET(회계장부!$A$1,K40,,$J$13-K40+1,)=기준일자)*(OFFSET(회계장부!$G$1,K40,,$J$13-K40+1,)=K$14),0)+K40,"")</f>
        <v/>
      </c>
    </row>
    <row r="42" spans="10:12" ht="25" customHeight="1">
      <c r="J42" s="56">
        <v>27</v>
      </c>
      <c r="K42" s="66" t="str">
        <f t="array" aca="1" ref="K42" ca="1">IF($J42&lt;=K$15,MATCH(1,(OFFSET(회계장부!$A$1,K41,,$J$13-K41+1,)=기준일자)*(OFFSET(회계장부!$G$1,K41,,$J$13-K41+1,)=K$14),0)+K41,"")</f>
        <v/>
      </c>
    </row>
    <row r="43" spans="10:12" ht="25" customHeight="1">
      <c r="J43" s="56">
        <v>28</v>
      </c>
      <c r="K43" s="66" t="str">
        <f t="array" aca="1" ref="K43" ca="1">IF($J43&lt;=K$15,MATCH(1,(OFFSET(회계장부!$A$1,K42,,$J$13-K42+1,)=기준일자)*(OFFSET(회계장부!$G$1,K42,,$J$13-K42+1,)=K$14),0)+K42,"")</f>
        <v/>
      </c>
    </row>
    <row r="44" spans="10:12" ht="25" customHeight="1">
      <c r="J44" s="56">
        <v>29</v>
      </c>
      <c r="K44" s="66" t="str">
        <f t="array" aca="1" ref="K44" ca="1">IF($J44&lt;=K$15,MATCH(1,(OFFSET(회계장부!$A$1,K43,,$J$13-K43+1,)=기준일자)*(OFFSET(회계장부!$G$1,K43,,$J$13-K43+1,)=K$14),0)+K43,"")</f>
        <v/>
      </c>
    </row>
    <row r="45" spans="10:12" ht="25" customHeight="1">
      <c r="J45" s="56">
        <v>30</v>
      </c>
      <c r="K45" s="66" t="str">
        <f t="array" aca="1" ref="K45" ca="1">IF($J45&lt;=K$15,MATCH(1,(OFFSET(회계장부!$A$1,K44,,$J$13-K44+1,)=기준일자)*(OFFSET(회계장부!$G$1,K44,,$J$13-K44+1,)=K$14),0)+K44,"")</f>
        <v/>
      </c>
    </row>
    <row r="46" spans="10:12" ht="25" customHeight="1">
      <c r="J46" s="56">
        <v>31</v>
      </c>
      <c r="K46" s="66" t="str">
        <f t="array" aca="1" ref="K46" ca="1">IF($J46&lt;=K$15,MATCH(1,(OFFSET(회계장부!$A$1,K45,,$J$13-K45+1,)=기준일자)*(OFFSET(회계장부!$G$1,K45,,$J$13-K45+1,)=K$14),0)+K45,"")</f>
        <v/>
      </c>
    </row>
    <row r="47" spans="10:12" ht="25" customHeight="1">
      <c r="J47" s="56">
        <v>32</v>
      </c>
      <c r="K47" s="66" t="str">
        <f t="array" aca="1" ref="K47" ca="1">IF($J47&lt;=K$15,MATCH(1,(OFFSET(회계장부!$A$1,K46,,$J$13-K46+1,)=기준일자)*(OFFSET(회계장부!$G$1,K46,,$J$13-K46+1,)=K$14),0)+K46,"")</f>
        <v/>
      </c>
    </row>
    <row r="48" spans="10:12" ht="25" customHeight="1" thickBot="1">
      <c r="J48" s="56">
        <v>33</v>
      </c>
      <c r="K48" s="67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Zuv3jVvFP0dtl/BA4Dd74oJPzn0GpWzduOaVxlH8XuBeObtp2q3A7eCLbilbQv6so61BOx3dINnQU18HPCApcA==" saltValue="C2xjHNlBtbM7EqEGKMDlHw==" spinCount="100000" sheet="1" selectLockedCells="1"/>
  <mergeCells count="73">
    <mergeCell ref="A1:H1"/>
    <mergeCell ref="A29:H29"/>
    <mergeCell ref="B11:C11"/>
    <mergeCell ref="B12:C12"/>
    <mergeCell ref="B13:C13"/>
    <mergeCell ref="B14:C14"/>
    <mergeCell ref="F6:G6"/>
    <mergeCell ref="F7:G7"/>
    <mergeCell ref="F8:G8"/>
    <mergeCell ref="F9:G9"/>
    <mergeCell ref="F10:G10"/>
    <mergeCell ref="F11:G11"/>
    <mergeCell ref="D10:E10"/>
    <mergeCell ref="D26:F26"/>
    <mergeCell ref="G26:H26"/>
    <mergeCell ref="B27:C28"/>
    <mergeCell ref="D27:F28"/>
    <mergeCell ref="G27:H28"/>
    <mergeCell ref="F25:G25"/>
    <mergeCell ref="B24:C24"/>
    <mergeCell ref="B25:C25"/>
    <mergeCell ref="D25:E25"/>
    <mergeCell ref="D20:E20"/>
    <mergeCell ref="D21:E21"/>
    <mergeCell ref="D22:E22"/>
    <mergeCell ref="D23:E23"/>
    <mergeCell ref="D24:E24"/>
    <mergeCell ref="F20:G20"/>
    <mergeCell ref="F21:G21"/>
    <mergeCell ref="F22:G22"/>
    <mergeCell ref="F23:G23"/>
    <mergeCell ref="F24:G24"/>
    <mergeCell ref="G18:H18"/>
    <mergeCell ref="G19:H19"/>
    <mergeCell ref="D15:F15"/>
    <mergeCell ref="E18:F18"/>
    <mergeCell ref="E19:F19"/>
    <mergeCell ref="A18:A19"/>
    <mergeCell ref="A20:A25"/>
    <mergeCell ref="A26:A28"/>
    <mergeCell ref="B15:C15"/>
    <mergeCell ref="B20:C20"/>
    <mergeCell ref="B21:C21"/>
    <mergeCell ref="B22:C22"/>
    <mergeCell ref="B23:C23"/>
    <mergeCell ref="B26:C26"/>
    <mergeCell ref="E4:F4"/>
    <mergeCell ref="F3:G3"/>
    <mergeCell ref="C5:F5"/>
    <mergeCell ref="G5:H5"/>
    <mergeCell ref="A15:A17"/>
    <mergeCell ref="G15:H15"/>
    <mergeCell ref="E16:F16"/>
    <mergeCell ref="E17:F17"/>
    <mergeCell ref="F12:G12"/>
    <mergeCell ref="F13:G13"/>
    <mergeCell ref="F14:G14"/>
    <mergeCell ref="A2:H2"/>
    <mergeCell ref="A6:A14"/>
    <mergeCell ref="D6:E6"/>
    <mergeCell ref="D7:E7"/>
    <mergeCell ref="D8:E8"/>
    <mergeCell ref="D9:E9"/>
    <mergeCell ref="D11:E11"/>
    <mergeCell ref="D12:E12"/>
    <mergeCell ref="D13:E13"/>
    <mergeCell ref="D14:E14"/>
    <mergeCell ref="B6:C6"/>
    <mergeCell ref="B7:C7"/>
    <mergeCell ref="B8:C8"/>
    <mergeCell ref="B9:C9"/>
    <mergeCell ref="B10:C10"/>
    <mergeCell ref="B3:E3"/>
  </mergeCells>
  <phoneticPr fontId="2" type="noConversion"/>
  <conditionalFormatting sqref="A2:H2">
    <cfRule type="expression" dxfId="30" priority="3">
      <formula>LEN(A2)&gt;0</formula>
    </cfRule>
  </conditionalFormatting>
  <conditionalFormatting sqref="F13:G13">
    <cfRule type="containsText" dxfId="29" priority="2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28" priority="1" operator="containsText" text="&lt;&lt; 다음면에 계속 &gt;&gt;">
      <formula>NOT(ISERROR(SEARCH("&lt;&lt; 다음면에 계속 &gt;&gt;",F24)))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18FE-C3B8-48DE-984A-C0944E06C48C}">
  <dimension ref="A1:O48"/>
  <sheetViews>
    <sheetView showGridLines="0" showRowColHeaders="0" zoomScale="85" zoomScaleNormal="85" workbookViewId="0">
      <selection activeCell="U14" sqref="U14"/>
    </sheetView>
  </sheetViews>
  <sheetFormatPr defaultColWidth="9" defaultRowHeight="25" customHeight="1"/>
  <cols>
    <col min="1" max="1" width="7.75" style="48" customWidth="1"/>
    <col min="2" max="2" width="9.08203125" style="48" customWidth="1"/>
    <col min="3" max="3" width="18" style="77" customWidth="1"/>
    <col min="4" max="4" width="9.08203125" style="77" customWidth="1"/>
    <col min="5" max="5" width="4.75" style="77" customWidth="1"/>
    <col min="6" max="6" width="15.08203125" style="48" customWidth="1"/>
    <col min="7" max="7" width="8.75" style="48" customWidth="1"/>
    <col min="8" max="8" width="19.75" style="48" customWidth="1"/>
    <col min="9" max="9" width="9" style="48"/>
    <col min="10" max="10" width="11.08203125" style="48" hidden="1" customWidth="1"/>
    <col min="11" max="11" width="11.5" style="48" hidden="1" customWidth="1"/>
    <col min="12" max="12" width="11.25" style="48" hidden="1" customWidth="1"/>
    <col min="13" max="13" width="0" style="48" hidden="1" customWidth="1"/>
    <col min="14" max="14" width="9" style="48"/>
    <col min="15" max="15" width="10.83203125" style="48" bestFit="1" customWidth="1"/>
    <col min="16" max="16384" width="9" style="48"/>
  </cols>
  <sheetData>
    <row r="1" spans="1:12" ht="41.25" customHeight="1">
      <c r="A1" s="392" t="s">
        <v>0</v>
      </c>
      <c r="B1" s="393"/>
      <c r="C1" s="393"/>
      <c r="D1" s="393"/>
      <c r="E1" s="393"/>
      <c r="F1" s="393"/>
      <c r="G1" s="393"/>
      <c r="H1" s="393"/>
    </row>
    <row r="2" spans="1:12" ht="15.75" customHeight="1" thickBot="1">
      <c r="A2" s="268"/>
      <c r="B2" s="268"/>
      <c r="C2" s="268"/>
      <c r="D2" s="268"/>
      <c r="E2" s="268"/>
      <c r="F2" s="268"/>
      <c r="G2" s="268"/>
      <c r="H2" s="268"/>
    </row>
    <row r="3" spans="1:12" ht="25" customHeight="1">
      <c r="A3" s="219" t="s">
        <v>15</v>
      </c>
      <c r="B3" s="394">
        <f>기준일자</f>
        <v>44929</v>
      </c>
      <c r="C3" s="394"/>
      <c r="D3" s="394"/>
      <c r="E3" s="394"/>
      <c r="F3" s="395" t="s">
        <v>16</v>
      </c>
      <c r="G3" s="395"/>
      <c r="H3" s="220"/>
    </row>
    <row r="4" spans="1:12" ht="25" customHeight="1" thickBot="1">
      <c r="A4" s="221" t="s">
        <v>17</v>
      </c>
      <c r="B4" s="222"/>
      <c r="C4" s="223"/>
      <c r="D4" s="223" t="s">
        <v>18</v>
      </c>
      <c r="E4" s="396"/>
      <c r="F4" s="396"/>
      <c r="G4" s="222" t="s">
        <v>19</v>
      </c>
      <c r="H4" s="224"/>
    </row>
    <row r="5" spans="1:12" ht="25" customHeight="1" thickBot="1">
      <c r="A5" s="225" t="s">
        <v>20</v>
      </c>
      <c r="B5" s="226" t="s">
        <v>21</v>
      </c>
      <c r="C5" s="389" t="str">
        <f ca="1">NUMBERSTRING(H14,1) &amp; " 원정"</f>
        <v>오만 원정</v>
      </c>
      <c r="D5" s="389"/>
      <c r="E5" s="389"/>
      <c r="F5" s="389"/>
      <c r="G5" s="390">
        <f ca="1">H14</f>
        <v>50000</v>
      </c>
      <c r="H5" s="391"/>
    </row>
    <row r="6" spans="1:12" ht="25" customHeight="1">
      <c r="A6" s="360" t="s">
        <v>223</v>
      </c>
      <c r="B6" s="385" t="str">
        <f ca="1">IF(K32&lt;&gt;"",INDEX(회계장부!$B:$B,K32,1),"")</f>
        <v/>
      </c>
      <c r="C6" s="386"/>
      <c r="D6" s="387" t="str">
        <f ca="1">IF(K32&lt;&gt;"",INDEX(회계장부!$D:$D,K32,1),"")</f>
        <v/>
      </c>
      <c r="E6" s="388"/>
      <c r="F6" s="386" t="str">
        <f ca="1">IF(K41&lt;&gt;"",INDEX(회계장부!$B:$B,K41,1),"")</f>
        <v/>
      </c>
      <c r="G6" s="386"/>
      <c r="H6" s="227" t="str">
        <f ca="1">IF(K41&lt;&gt;"",INDEX(회계장부!$D:$D,K41,1),"")</f>
        <v/>
      </c>
    </row>
    <row r="7" spans="1:12" ht="25" customHeight="1">
      <c r="A7" s="340"/>
      <c r="B7" s="382" t="str">
        <f ca="1">IF(K33&lt;&gt;"",INDEX(회계장부!$B:$B,K33,1),"")</f>
        <v/>
      </c>
      <c r="C7" s="372"/>
      <c r="D7" s="383" t="str">
        <f ca="1">IF(K33&lt;&gt;"",INDEX(회계장부!$D:$D,K33,1),"")</f>
        <v/>
      </c>
      <c r="E7" s="383"/>
      <c r="F7" s="366" t="str">
        <f ca="1">IF(K42&lt;&gt;"",INDEX(회계장부!$B:$B,K42,1),"")</f>
        <v/>
      </c>
      <c r="G7" s="366"/>
      <c r="H7" s="228" t="str">
        <f ca="1">IF(K42&lt;&gt;"",INDEX(회계장부!$D:$D,K42,1),"")</f>
        <v/>
      </c>
    </row>
    <row r="8" spans="1:12" ht="25" customHeight="1">
      <c r="A8" s="340"/>
      <c r="B8" s="382" t="str">
        <f ca="1">IF(K34&lt;&gt;"",INDEX(회계장부!$B:$B,K34,1),"")</f>
        <v/>
      </c>
      <c r="C8" s="372"/>
      <c r="D8" s="383" t="str">
        <f ca="1">IF(K34&lt;&gt;"",INDEX(회계장부!$D:$D,K34,1),"")</f>
        <v/>
      </c>
      <c r="E8" s="383"/>
      <c r="F8" s="366" t="str">
        <f ca="1">IF(K43&lt;&gt;"",INDEX(회계장부!$B:$B,K43,1),"")</f>
        <v/>
      </c>
      <c r="G8" s="366"/>
      <c r="H8" s="228" t="str">
        <f ca="1">IF(K43&lt;&gt;"",INDEX(회계장부!$D:$D,K43,1),"")</f>
        <v/>
      </c>
    </row>
    <row r="9" spans="1:12" ht="25" customHeight="1">
      <c r="A9" s="340"/>
      <c r="B9" s="382" t="str">
        <f ca="1">IF(K35&lt;&gt;"",INDEX(회계장부!$B:$B,K35,1),"")</f>
        <v/>
      </c>
      <c r="C9" s="372"/>
      <c r="D9" s="383" t="str">
        <f ca="1">IF(K35&lt;&gt;"",INDEX(회계장부!$D:$D,K35,1),"")</f>
        <v/>
      </c>
      <c r="E9" s="383"/>
      <c r="F9" s="366" t="str">
        <f ca="1">IF(K44&lt;&gt;"",INDEX(회계장부!$B:$B,K44,1),"")</f>
        <v/>
      </c>
      <c r="G9" s="366"/>
      <c r="H9" s="228" t="str">
        <f ca="1">IF(K44&lt;&gt;"",INDEX(회계장부!$D:$D,K44,1),"")</f>
        <v/>
      </c>
    </row>
    <row r="10" spans="1:12" ht="25" customHeight="1">
      <c r="A10" s="340"/>
      <c r="B10" s="382" t="str">
        <f ca="1">IF(K36&lt;&gt;"",INDEX(회계장부!$B:$B,K36,1),"")</f>
        <v/>
      </c>
      <c r="C10" s="372"/>
      <c r="D10" s="383" t="str">
        <f ca="1">IF(K36&lt;&gt;"",INDEX(회계장부!$D:$D,K36,1),"")</f>
        <v/>
      </c>
      <c r="E10" s="383"/>
      <c r="F10" s="366" t="str">
        <f ca="1">IF(K45&lt;&gt;"",INDEX(회계장부!$B:$B,K45,1),"")</f>
        <v/>
      </c>
      <c r="G10" s="366"/>
      <c r="H10" s="228" t="str">
        <f ca="1">IF(K45&lt;&gt;"",INDEX(회계장부!$D:$D,K45,1),"")</f>
        <v/>
      </c>
    </row>
    <row r="11" spans="1:12" ht="25" customHeight="1">
      <c r="A11" s="340"/>
      <c r="B11" s="382" t="str">
        <f ca="1">IF(K37&lt;&gt;"",INDEX(회계장부!$B:$B,K37,1),"")</f>
        <v/>
      </c>
      <c r="C11" s="372"/>
      <c r="D11" s="383" t="str">
        <f ca="1">IF(K37&lt;&gt;"",INDEX(회계장부!$D:$D,K37,1),"")</f>
        <v/>
      </c>
      <c r="E11" s="383"/>
      <c r="F11" s="366" t="str">
        <f ca="1">IF(K46&lt;&gt;"",INDEX(회계장부!$B:$B,K46,1),"")</f>
        <v/>
      </c>
      <c r="G11" s="366"/>
      <c r="H11" s="228" t="str">
        <f ca="1">IF(K46&lt;&gt;"",INDEX(회계장부!$D:$D,K46,1),"")</f>
        <v/>
      </c>
    </row>
    <row r="12" spans="1:12" ht="25" customHeight="1">
      <c r="A12" s="340"/>
      <c r="B12" s="382" t="str">
        <f ca="1">IF(K38&lt;&gt;"",INDEX(회계장부!$B:$B,K38,1),"")</f>
        <v/>
      </c>
      <c r="C12" s="372"/>
      <c r="D12" s="383" t="str">
        <f ca="1">IF(K38&lt;&gt;"",INDEX(회계장부!$D:$D,K38,1),"")</f>
        <v/>
      </c>
      <c r="E12" s="383"/>
      <c r="F12" s="366" t="str">
        <f ca="1">IF(K47&lt;&gt;"",INDEX(회계장부!$B:$B,K47,1),"")</f>
        <v/>
      </c>
      <c r="G12" s="366"/>
      <c r="H12" s="228" t="str">
        <f ca="1">IF(K47&lt;&gt;"",INDEX(회계장부!$D:$D,K47,1),"")</f>
        <v/>
      </c>
      <c r="L12" s="77"/>
    </row>
    <row r="13" spans="1:12" ht="25" customHeight="1" thickBot="1">
      <c r="A13" s="340"/>
      <c r="B13" s="382" t="str">
        <f ca="1">IF(K39&lt;&gt;"",INDEX(회계장부!$B:$B,K39,1),"")</f>
        <v/>
      </c>
      <c r="C13" s="372"/>
      <c r="D13" s="383" t="str">
        <f ca="1">IF(K39&lt;&gt;"",INDEX(회계장부!$D:$D,K39,1),"")</f>
        <v/>
      </c>
      <c r="E13" s="383"/>
      <c r="F13" s="384" t="str">
        <f ca="1">IF(K48&lt;&gt;"",INDEX(회계장부!$B:$B,K48,1),"")</f>
        <v/>
      </c>
      <c r="G13" s="384"/>
      <c r="H13" s="229" t="str">
        <f ca="1">IF(K48&lt;&gt;"",INDEX(회계장부!$D:$D,K48,1),"")</f>
        <v/>
      </c>
      <c r="J13" s="50">
        <f>COUNTA(회계장부!$A:$A)</f>
        <v>3</v>
      </c>
      <c r="K13" s="50"/>
      <c r="L13" s="78"/>
    </row>
    <row r="14" spans="1:12" ht="25" customHeight="1" thickBot="1">
      <c r="A14" s="340"/>
      <c r="B14" s="333" t="str">
        <f ca="1">IF(K40&lt;&gt;"",INDEX(회계장부!$B:$B,K40,1),"")</f>
        <v/>
      </c>
      <c r="C14" s="334"/>
      <c r="D14" s="335" t="str">
        <f ca="1">IF(K40&lt;&gt;"",INDEX(회계장부!$D:$D,K40,1),"")</f>
        <v/>
      </c>
      <c r="E14" s="336"/>
      <c r="F14" s="337" t="s">
        <v>97</v>
      </c>
      <c r="G14" s="338"/>
      <c r="H14" s="230">
        <f ca="1">'결의서(기본)'!H14</f>
        <v>50000</v>
      </c>
      <c r="J14" s="50"/>
      <c r="K14" s="52" t="s">
        <v>48</v>
      </c>
      <c r="L14" s="79" t="s">
        <v>95</v>
      </c>
    </row>
    <row r="15" spans="1:12" ht="25" customHeight="1" thickTop="1" thickBot="1">
      <c r="A15" s="340" t="s">
        <v>23</v>
      </c>
      <c r="B15" s="342" t="s">
        <v>24</v>
      </c>
      <c r="C15" s="342"/>
      <c r="D15" s="373" t="s">
        <v>40</v>
      </c>
      <c r="E15" s="373"/>
      <c r="F15" s="374"/>
      <c r="G15" s="375" t="s">
        <v>25</v>
      </c>
      <c r="H15" s="376"/>
      <c r="J15" s="56" t="s">
        <v>96</v>
      </c>
      <c r="K15" s="54">
        <f>COUNTIFS(회계장부!$A:$A,기준일자,회계장부!$G:$G,K$14)</f>
        <v>1</v>
      </c>
      <c r="L15" s="55">
        <f>COUNTIFS(회계장부!$A:$A,기준일자,회계장부!$G:$G,L$14)</f>
        <v>0</v>
      </c>
    </row>
    <row r="16" spans="1:12" ht="25" customHeight="1">
      <c r="A16" s="340"/>
      <c r="B16" s="231" t="s">
        <v>26</v>
      </c>
      <c r="C16" s="232">
        <f>SUMIFS(회계장부!C:C,회계장부!K:K,"자체헌금",회계장부!A:A,기준일자)</f>
        <v>0</v>
      </c>
      <c r="D16" s="231" t="s">
        <v>26</v>
      </c>
      <c r="E16" s="377">
        <f>SUMIFS(회계장부!C:C,회계장부!K:K,"교회보조금",회계장부!A:A,기준일자)</f>
        <v>0</v>
      </c>
      <c r="F16" s="377"/>
      <c r="G16" s="231" t="s">
        <v>26</v>
      </c>
      <c r="H16" s="233">
        <f>SUMIFS(회계장부!C:C,회계장부!K:K,"기타",회계장부!A:A,기준일자)</f>
        <v>0</v>
      </c>
      <c r="J16" s="56">
        <v>1</v>
      </c>
      <c r="K16" s="57">
        <f t="array" ref="K16">IF($J16&lt;=K$15,MATCH(1,(회계장부!$A:$A=기준일자)*(회계장부!$G:$G=K$14),0),"")</f>
        <v>3</v>
      </c>
      <c r="L16" s="57" t="str">
        <f t="array" ref="L16">IF($J16&lt;=L$15,MATCH(1,(회계장부!$A:$A=기준일자)*(회계장부!$G:$G=L$14),0),"")</f>
        <v/>
      </c>
    </row>
    <row r="17" spans="1:15" ht="25" customHeight="1">
      <c r="A17" s="340"/>
      <c r="B17" s="231" t="s">
        <v>27</v>
      </c>
      <c r="C17" s="232">
        <f>SUMIFS(회계장부!C:C,회계장부!K:K,"자체헌금",회계장부!A:A,"&lt;="&amp;기준일자)</f>
        <v>0</v>
      </c>
      <c r="D17" s="231" t="s">
        <v>27</v>
      </c>
      <c r="E17" s="377">
        <f>SUMIFS(회계장부!C:C,회계장부!K:K,"교회보조금",회계장부!A:A,"&lt;="&amp;기준일자)</f>
        <v>0</v>
      </c>
      <c r="F17" s="377"/>
      <c r="G17" s="231" t="s">
        <v>27</v>
      </c>
      <c r="H17" s="233">
        <f>SUMIFS(회계장부!C:C,회계장부!K:K,"기타",회계장부!A:A,"&lt;="&amp;기준일자)</f>
        <v>270000</v>
      </c>
      <c r="J17" s="56">
        <v>2</v>
      </c>
      <c r="K17" s="58" t="str">
        <f t="array" aca="1" ref="K17" ca="1">IF($J17&lt;=K$15,MATCH(1,(OFFSET(회계장부!$A$1,K16,,$J$13-K16+1,)=기준일자)*(OFFSET(회계장부!$G$1,K16,,$J$13-K16+1,)=K$14),0)+K16,"")</f>
        <v/>
      </c>
      <c r="L17" s="58" t="str">
        <f t="array" aca="1" ref="L17" ca="1">IF($J17&lt;=L$15,MATCH(1,(OFFSET(회계장부!$A$1,L16,,$J$13-L16+1,)=기준일자)*(OFFSET(회계장부!$G$1,L16,,$J$13-L16+1,)=L$14),0)+L16,"")</f>
        <v/>
      </c>
      <c r="O17" s="234"/>
    </row>
    <row r="18" spans="1:15" ht="25" customHeight="1">
      <c r="A18" s="340" t="s">
        <v>28</v>
      </c>
      <c r="B18" s="231" t="s">
        <v>26</v>
      </c>
      <c r="C18" s="232">
        <f>SUMIFS(회계장부!D:D,회계장부!G:G,"지출항목",회계장부!A:A,기준일자)</f>
        <v>50000</v>
      </c>
      <c r="D18" s="235" t="s">
        <v>29</v>
      </c>
      <c r="E18" s="378">
        <f>C17+E17+H17</f>
        <v>270000</v>
      </c>
      <c r="F18" s="379"/>
      <c r="G18" s="342" t="s">
        <v>30</v>
      </c>
      <c r="H18" s="357"/>
      <c r="J18" s="56">
        <v>3</v>
      </c>
      <c r="K18" s="58" t="str">
        <f t="array" aca="1" ref="K18" ca="1">IF($J18&lt;=K$15,MATCH(1,(OFFSET(회계장부!$A$1,K17,,$J$13-K17+1,)=기준일자)*(OFFSET(회계장부!$G$1,K17,,$J$13-K17+1,)=K$14),0)+K17,"")</f>
        <v/>
      </c>
      <c r="L18" s="58" t="str">
        <f t="array" aca="1" ref="L18" ca="1">IF($J18&lt;=L$15,MATCH(1,(OFFSET(회계장부!$A$1,L17,,$J$13-L17+1,)=기준일자)*(OFFSET(회계장부!$G$1,L17,,$J$13-L17+1,)=L$14),0)+L17,"")</f>
        <v/>
      </c>
    </row>
    <row r="19" spans="1:15" ht="25" customHeight="1">
      <c r="A19" s="340"/>
      <c r="B19" s="231" t="s">
        <v>27</v>
      </c>
      <c r="C19" s="232">
        <f>SUMIFS(회계장부!D:D,회계장부!G:G,"지출항목",회계장부!A:A,"&lt;="&amp;기준일자)</f>
        <v>50000</v>
      </c>
      <c r="D19" s="235" t="s">
        <v>31</v>
      </c>
      <c r="E19" s="378">
        <f>C17+E17+H17-C19</f>
        <v>220000</v>
      </c>
      <c r="F19" s="379"/>
      <c r="G19" s="380" t="s">
        <v>32</v>
      </c>
      <c r="H19" s="381"/>
      <c r="J19" s="56">
        <v>4</v>
      </c>
      <c r="K19" s="58" t="str">
        <f t="array" aca="1" ref="K19" ca="1">IF($J19&lt;=K$15,MATCH(1,(OFFSET(회계장부!$A$1,K18,,$J$13-K18+1,)=기준일자)*(OFFSET(회계장부!$G$1,K18,,$J$13-K18+1,)=K$14),0)+K18,"")</f>
        <v/>
      </c>
      <c r="L19" s="58" t="str">
        <f t="array" aca="1" ref="L19" ca="1">IF($J19&lt;=L$15,MATCH(1,(OFFSET(회계장부!$A$1,L18,,$J$13-L18+1,)=기준일자)*(OFFSET(회계장부!$G$1,L18,,$J$13-L18+1,)=L$14),0)+L18,"")</f>
        <v/>
      </c>
    </row>
    <row r="20" spans="1:15" ht="25" customHeight="1">
      <c r="A20" s="360" t="s">
        <v>224</v>
      </c>
      <c r="B20" s="361" t="str">
        <f ca="1">IF(L26&lt;&gt;"",INDEX(회계장부!$B:$B,L26,1),"")</f>
        <v/>
      </c>
      <c r="C20" s="362"/>
      <c r="D20" s="363" t="str">
        <f ca="1">IF(L26&lt;&gt;"",INDEX(회계장부!$C:$C,L26,1),"")</f>
        <v/>
      </c>
      <c r="E20" s="364"/>
      <c r="F20" s="362" t="str">
        <f ca="1">IF(L32&lt;&gt;"",INDEX(회계장부!$B:$B,L32,1),"")</f>
        <v/>
      </c>
      <c r="G20" s="362"/>
      <c r="H20" s="236" t="str">
        <f ca="1">IF(L32&lt;&gt;"",INDEX(회계장부!$C:$C,L32,1),"")</f>
        <v/>
      </c>
      <c r="J20" s="56">
        <v>5</v>
      </c>
      <c r="K20" s="58" t="str">
        <f t="array" aca="1" ref="K20" ca="1">IF($J20&lt;=K$15,MATCH(1,(OFFSET(회계장부!$A$1,K19,,$J$13-K19+1,)=기준일자)*(OFFSET(회계장부!$G$1,K19,,$J$13-K19+1,)=K$14),0)+K19,"")</f>
        <v/>
      </c>
      <c r="L20" s="58" t="str">
        <f t="array" aca="1" ref="L20" ca="1">IF($J20&lt;=L$15,MATCH(1,(OFFSET(회계장부!$A$1,L19,,$J$13-L19+1,)=기준일자)*(OFFSET(회계장부!$G$1,L19,,$J$13-L19+1,)=L$14),0)+L19,"")</f>
        <v/>
      </c>
      <c r="N20" s="237"/>
    </row>
    <row r="21" spans="1:15" ht="25" customHeight="1">
      <c r="A21" s="340"/>
      <c r="B21" s="365" t="str">
        <f ca="1">IF(L27&lt;&gt;"",INDEX(회계장부!$B:$B,L27,1),"")</f>
        <v/>
      </c>
      <c r="C21" s="366"/>
      <c r="D21" s="367" t="str">
        <f ca="1">IF(L27&lt;&gt;"",INDEX(회계장부!$C:$C,L27,1),"")</f>
        <v/>
      </c>
      <c r="E21" s="368"/>
      <c r="F21" s="371" t="str">
        <f ca="1">IF(L33&lt;&gt;"",INDEX(회계장부!$B:$B,L33,1),"")</f>
        <v/>
      </c>
      <c r="G21" s="372"/>
      <c r="H21" s="228" t="str">
        <f ca="1">IF(L33&lt;&gt;"",INDEX(회계장부!$C:$C,L33,1),"")</f>
        <v/>
      </c>
      <c r="J21" s="56">
        <v>6</v>
      </c>
      <c r="K21" s="58" t="str">
        <f t="array" aca="1" ref="K21" ca="1">IF($J21&lt;=K$15,MATCH(1,(OFFSET(회계장부!$A$1,K20,,$J$13-K20+1,)=기준일자)*(OFFSET(회계장부!$G$1,K20,,$J$13-K20+1,)=K$14),0)+K20,"")</f>
        <v/>
      </c>
      <c r="L21" s="58" t="str">
        <f t="array" aca="1" ref="L21" ca="1">IF($J21&lt;=L$15,MATCH(1,(OFFSET(회계장부!$A$1,L20,,$J$13-L20+1,)=기준일자)*(OFFSET(회계장부!$G$1,L20,,$J$13-L20+1,)=L$14),0)+L20,"")</f>
        <v/>
      </c>
    </row>
    <row r="22" spans="1:15" ht="25" customHeight="1">
      <c r="A22" s="340"/>
      <c r="B22" s="365" t="str">
        <f ca="1">IF(L28&lt;&gt;"",INDEX(회계장부!$B:$B,L28,1),"")</f>
        <v/>
      </c>
      <c r="C22" s="366"/>
      <c r="D22" s="367" t="str">
        <f ca="1">IF(L28&lt;&gt;"",INDEX(회계장부!$C:$C,L28,1),"")</f>
        <v/>
      </c>
      <c r="E22" s="368"/>
      <c r="F22" s="371" t="str">
        <f ca="1">IF(L34&lt;&gt;"",INDEX(회계장부!$B:$B,L34,1),"")</f>
        <v/>
      </c>
      <c r="G22" s="372"/>
      <c r="H22" s="228" t="str">
        <f ca="1">IF(L34&lt;&gt;"",INDEX(회계장부!$C:$C,L34,1),"")</f>
        <v/>
      </c>
      <c r="J22" s="56">
        <v>7</v>
      </c>
      <c r="K22" s="58" t="str">
        <f t="array" aca="1" ref="K22" ca="1">IF($J22&lt;=K$15,MATCH(1,(OFFSET(회계장부!$A$1,K21,,$J$13-K21+1,)=기준일자)*(OFFSET(회계장부!$G$1,K21,,$J$13-K21+1,)=K$14),0)+K21,"")</f>
        <v/>
      </c>
      <c r="L22" s="58" t="str">
        <f t="array" aca="1" ref="L22" ca="1">IF($J22&lt;=L$15,MATCH(1,(OFFSET(회계장부!$A$1,L21,,$J$13-L21+1,)=기준일자)*(OFFSET(회계장부!$G$1,L21,,$J$13-L21+1,)=L$14),0)+L21,"")</f>
        <v/>
      </c>
    </row>
    <row r="23" spans="1:15" ht="25" customHeight="1">
      <c r="A23" s="340"/>
      <c r="B23" s="365" t="str">
        <f ca="1">IF(L29&lt;&gt;"",INDEX(회계장부!$B:$B,L29,1),"")</f>
        <v/>
      </c>
      <c r="C23" s="366"/>
      <c r="D23" s="367" t="str">
        <f ca="1">IF(L29&lt;&gt;"",INDEX(회계장부!$C:$C,L29,1),"")</f>
        <v/>
      </c>
      <c r="E23" s="368"/>
      <c r="F23" s="371" t="str">
        <f ca="1">IF(L35&lt;&gt;"",INDEX(회계장부!$B:$B,L35,1),"")</f>
        <v/>
      </c>
      <c r="G23" s="372"/>
      <c r="H23" s="228" t="str">
        <f ca="1">IF(L35&lt;&gt;"",INDEX(회계장부!$C:$C,L35,1),"")</f>
        <v/>
      </c>
      <c r="J23" s="56">
        <v>8</v>
      </c>
      <c r="K23" s="58" t="str">
        <f t="array" aca="1" ref="K23" ca="1">IF($J23&lt;=K$15,MATCH(1,(OFFSET(회계장부!$A$1,K22,,$J$13-K22+1,)=기준일자)*(OFFSET(회계장부!$G$1,K22,,$J$13-K22+1,)=K$14),0)+K22,"")</f>
        <v/>
      </c>
      <c r="L23" s="58" t="str">
        <f t="array" aca="1" ref="L23" ca="1">IF($J23&lt;=L$15,MATCH(1,(OFFSET(회계장부!$A$1,L22,,$J$13-L22+1,)=기준일자)*(OFFSET(회계장부!$G$1,L22,,$J$13-L22+1,)=L$14),0)+L22,"")</f>
        <v/>
      </c>
    </row>
    <row r="24" spans="1:15" ht="25" customHeight="1" thickBot="1">
      <c r="A24" s="340"/>
      <c r="B24" s="365" t="str">
        <f ca="1">IF(L30&lt;&gt;"",INDEX(회계장부!$B:$B,L30,1),"")</f>
        <v/>
      </c>
      <c r="C24" s="366"/>
      <c r="D24" s="367" t="str">
        <f ca="1">IF(L30&lt;&gt;"",INDEX(회계장부!$C:$C,L30,1),"")</f>
        <v/>
      </c>
      <c r="E24" s="368"/>
      <c r="F24" s="369" t="str">
        <f ca="1">IF(L36&lt;&gt;"",INDEX(회계장부!$B:$B,L36,1),"")</f>
        <v/>
      </c>
      <c r="G24" s="370"/>
      <c r="H24" s="229" t="str">
        <f ca="1">IF(L36&lt;&gt;"",INDEX(회계장부!$C:$C,L36,1),"")</f>
        <v/>
      </c>
      <c r="J24" s="56">
        <v>9</v>
      </c>
      <c r="K24" s="58" t="str">
        <f t="array" aca="1" ref="K24" ca="1">IF($J24&lt;=K$15,MATCH(1,(OFFSET(회계장부!$A$1,K23,,$J$13-K23+1,)=기준일자)*(OFFSET(회계장부!$G$1,K23,,$J$13-K23+1,)=K$14),0)+K23,"")</f>
        <v/>
      </c>
      <c r="L24" s="58" t="str">
        <f t="array" aca="1" ref="L24" ca="1">IF($J24&lt;=L$15,MATCH(1,(OFFSET(회계장부!$A$1,L23,,$J$13-L23+1,)=기준일자)*(OFFSET(회계장부!$G$1,L23,,$J$13-L23+1,)=L$14),0)+L23,"")</f>
        <v/>
      </c>
    </row>
    <row r="25" spans="1:15" ht="25" customHeight="1" thickBot="1">
      <c r="A25" s="340"/>
      <c r="B25" s="333" t="str">
        <f ca="1">IF(L31&lt;&gt;"",INDEX(회계장부!$B:$B,L31,1),"")</f>
        <v/>
      </c>
      <c r="C25" s="334"/>
      <c r="D25" s="335" t="str">
        <f ca="1">IF(L31&lt;&gt;"",INDEX(회계장부!$C:$C,L31,1),"")</f>
        <v/>
      </c>
      <c r="E25" s="336"/>
      <c r="F25" s="337" t="s">
        <v>98</v>
      </c>
      <c r="G25" s="338"/>
      <c r="H25" s="230">
        <f ca="1">'결의서(기본)'!H25</f>
        <v>0</v>
      </c>
      <c r="J25" s="56">
        <v>10</v>
      </c>
      <c r="K25" s="58" t="str">
        <f t="array" aca="1" ref="K25" ca="1">IF($J25&lt;=K$15,MATCH(1,(OFFSET(회계장부!$A$1,K24,,$J$13-K24+1,)=기준일자)*(OFFSET(회계장부!$G$1,K24,,$J$13-K24+1,)=K$14),0)+K24,"")</f>
        <v/>
      </c>
      <c r="L25" s="59" t="str">
        <f t="array" aca="1" ref="L25" ca="1">IF($J25&lt;=L$15,MATCH(1,(OFFSET(회계장부!$A$1,L24,,$J$13-L24+1,)=기준일자)*(OFFSET(회계장부!$G$1,L24,,$J$13-L24+1,)=L$14),0)+L24,"")</f>
        <v/>
      </c>
    </row>
    <row r="26" spans="1:15" ht="25" customHeight="1" thickBot="1">
      <c r="A26" s="340" t="s">
        <v>33</v>
      </c>
      <c r="B26" s="342" t="str">
        <f>'결의서(기본)'!B26</f>
        <v>회계</v>
      </c>
      <c r="C26" s="342"/>
      <c r="D26" s="343" t="str">
        <f>'결의서(기본)'!D26</f>
        <v>총무</v>
      </c>
      <c r="E26" s="343"/>
      <c r="F26" s="344"/>
      <c r="G26" s="345" t="str">
        <f>'결의서(기본)'!G26</f>
        <v>부장</v>
      </c>
      <c r="H26" s="346"/>
      <c r="J26" s="56">
        <v>11</v>
      </c>
      <c r="K26" s="61" t="str">
        <f t="array" aca="1" ref="K26" ca="1">IF($J26&lt;=K$15,MATCH(1,(OFFSET(회계장부!$A$1,K25,,$J$13-K25+1,)=기준일자)*(OFFSET(회계장부!$G$1,K25,,$J$13-K25+1,)=K$14),0)+K25,"")</f>
        <v/>
      </c>
      <c r="L26" s="69" t="str">
        <f t="array" aca="1" ref="L26" ca="1">IF($J26&lt;=L$15,MATCH(1,(OFFSET(회계장부!$A$1,L25,,$J$13-L25+1,)=기준일자)*(OFFSET(회계장부!$G$1,L25,,$J$13-L25+1,)=L$14),0)+L25,"")</f>
        <v/>
      </c>
    </row>
    <row r="27" spans="1:15" ht="25" customHeight="1" thickBot="1">
      <c r="A27" s="340"/>
      <c r="B27" s="347"/>
      <c r="C27" s="348"/>
      <c r="D27" s="351"/>
      <c r="E27" s="352"/>
      <c r="F27" s="353"/>
      <c r="G27" s="342"/>
      <c r="H27" s="357"/>
      <c r="J27" s="56">
        <v>12</v>
      </c>
      <c r="K27" s="61" t="str">
        <f t="array" aca="1" ref="K27" ca="1">IF($J27&lt;=K$15,MATCH(1,(OFFSET(회계장부!$A$1,K26,,$J$13-K26+1,)=기준일자)*(OFFSET(회계장부!$G$1,K26,,$J$13-K26+1,)=K$14),0)+K26,"")</f>
        <v/>
      </c>
      <c r="L27" s="69" t="str">
        <f t="array" aca="1" ref="L27" ca="1">IF($J27&lt;=L$15,MATCH(1,(OFFSET(회계장부!$A$1,L26,,$J$13-L26+1,)=기준일자)*(OFFSET(회계장부!$G$1,L26,,$J$13-L26+1,)=L$14),0)+L26,"")</f>
        <v/>
      </c>
    </row>
    <row r="28" spans="1:15" ht="25" customHeight="1" thickBot="1">
      <c r="A28" s="341"/>
      <c r="B28" s="349"/>
      <c r="C28" s="350"/>
      <c r="D28" s="354"/>
      <c r="E28" s="355"/>
      <c r="F28" s="356"/>
      <c r="G28" s="358"/>
      <c r="H28" s="359"/>
      <c r="J28" s="56">
        <v>13</v>
      </c>
      <c r="K28" s="61" t="str">
        <f t="array" aca="1" ref="K28" ca="1">IF($J28&lt;=K$15,MATCH(1,(OFFSET(회계장부!$A$1,K27,,$J$13-K27+1,)=기준일자)*(OFFSET(회계장부!$G$1,K27,,$J$13-K27+1,)=K$14),0)+K27,"")</f>
        <v/>
      </c>
      <c r="L28" s="69" t="str">
        <f t="array" aca="1" ref="L28" ca="1">IF($J28&lt;=L$15,MATCH(1,(OFFSET(회계장부!$A$1,L27,,$J$13-L27+1,)=기준일자)*(OFFSET(회계장부!$G$1,L27,,$J$13-L27+1,)=L$14),0)+L27,"")</f>
        <v/>
      </c>
    </row>
    <row r="29" spans="1:15" ht="25" customHeight="1" thickBot="1">
      <c r="A29" s="339" t="s">
        <v>34</v>
      </c>
      <c r="B29" s="339"/>
      <c r="C29" s="339"/>
      <c r="D29" s="339"/>
      <c r="E29" s="339"/>
      <c r="F29" s="339"/>
      <c r="G29" s="339"/>
      <c r="H29" s="339"/>
      <c r="J29" s="56">
        <v>14</v>
      </c>
      <c r="K29" s="61" t="str">
        <f t="array" aca="1" ref="K29" ca="1">IF($J29&lt;=K$15,MATCH(1,(OFFSET(회계장부!$A$1,K28,,$J$13-K28+1,)=기준일자)*(OFFSET(회계장부!$G$1,K28,,$J$13-K28+1,)=K$14),0)+K28,"")</f>
        <v/>
      </c>
      <c r="L29" s="69" t="str">
        <f t="array" aca="1" ref="L29" ca="1">IF($J29&lt;=L$15,MATCH(1,(OFFSET(회계장부!$A$1,L28,,$J$13-L28+1,)=기준일자)*(OFFSET(회계장부!$G$1,L28,,$J$13-L28+1,)=L$14),0)+L28,"")</f>
        <v/>
      </c>
    </row>
    <row r="30" spans="1:15" ht="25" customHeight="1" thickBot="1">
      <c r="J30" s="56">
        <v>15</v>
      </c>
      <c r="K30" s="61" t="str">
        <f t="array" aca="1" ref="K30" ca="1">IF($J30&lt;=K$15,MATCH(1,(OFFSET(회계장부!$A$1,K29,,$J$13-K29+1,)=기준일자)*(OFFSET(회계장부!$G$1,K29,,$J$13-K29+1,)=K$14),0)+K29,"")</f>
        <v/>
      </c>
      <c r="L30" s="69" t="str">
        <f t="array" aca="1" ref="L30" ca="1">IF($J30&lt;=L$15,MATCH(1,(OFFSET(회계장부!$A$1,L29,,$J$13-L29+1,)=기준일자)*(OFFSET(회계장부!$G$1,L29,,$J$13-L29+1,)=L$14),0)+L29,"")</f>
        <v/>
      </c>
    </row>
    <row r="31" spans="1:15" ht="25" customHeight="1" thickBot="1">
      <c r="J31" s="56">
        <v>16</v>
      </c>
      <c r="K31" s="62" t="str">
        <f t="array" aca="1" ref="K31" ca="1">IF($J31&lt;=K$15,MATCH(1,(OFFSET(회계장부!$A$1,K30,,$J$13-K30+1,)=기준일자)*(OFFSET(회계장부!$G$1,K30,,$J$13-K30+1,)=K$14),0)+K30,"")</f>
        <v/>
      </c>
      <c r="L31" s="69" t="str">
        <f t="array" aca="1" ref="L31" ca="1">IF($J31&lt;=L$15,MATCH(1,(OFFSET(회계장부!$A$1,L30,,$J$13-L30+1,)=기준일자)*(OFFSET(회계장부!$G$1,L30,,$J$13-L30+1,)=L$14),0)+L30,"")</f>
        <v/>
      </c>
    </row>
    <row r="32" spans="1:15" ht="25" customHeight="1" thickBot="1">
      <c r="J32" s="56">
        <v>17</v>
      </c>
      <c r="K32" s="68" t="str">
        <f t="array" aca="1" ref="K32" ca="1">IF($J32&lt;=K$15,MATCH(1,(OFFSET(회계장부!$A$1,K31,,$J$13-K31+1,)=기준일자)*(OFFSET(회계장부!$G$1,K31,,$J$13-K31+1,)=K$14),0)+K31,"")</f>
        <v/>
      </c>
      <c r="L32" s="69" t="str">
        <f t="array" aca="1" ref="L32" ca="1">IF($J32&lt;=L$15,MATCH(1,(OFFSET(회계장부!$A$1,L31,,$J$13-L31+1,)=기준일자)*(OFFSET(회계장부!$G$1,L31,,$J$13-L31+1,)=L$14),0)+L31,"")</f>
        <v/>
      </c>
    </row>
    <row r="33" spans="10:12" ht="25" customHeight="1" thickBot="1">
      <c r="J33" s="56">
        <v>18</v>
      </c>
      <c r="K33" s="64" t="str">
        <f t="array" aca="1" ref="K33" ca="1">IF($J33&lt;=K$15,MATCH(1,(OFFSET(회계장부!$A$1,K32,,$J$13-K32+1,)=기준일자)*(OFFSET(회계장부!$G$1,K32,,$J$13-K32+1,)=K$14),0)+K32,"")</f>
        <v/>
      </c>
      <c r="L33" s="69" t="str">
        <f t="array" aca="1" ref="L33" ca="1">IF($J33&lt;=L$15,MATCH(1,(OFFSET(회계장부!$A$1,L32,,$J$13-L32+1,)=기준일자)*(OFFSET(회계장부!$G$1,L32,,$J$13-L32+1,)=L$14),0)+L32,"")</f>
        <v/>
      </c>
    </row>
    <row r="34" spans="10:12" ht="25" customHeight="1" thickBot="1">
      <c r="J34" s="56">
        <v>19</v>
      </c>
      <c r="K34" s="65" t="str">
        <f t="array" aca="1" ref="K34" ca="1">IF($J34&lt;=K$15,MATCH(1,(OFFSET(회계장부!$A$1,K33,,$J$13-K33+1,)=기준일자)*(OFFSET(회계장부!$G$1,K33,,$J$13-K33+1,)=K$14),0)+K33,"")</f>
        <v/>
      </c>
      <c r="L34" s="69" t="str">
        <f t="array" aca="1" ref="L34" ca="1">IF($J34&lt;=L$15,MATCH(1,(OFFSET(회계장부!$A$1,L33,,$J$13-L33+1,)=기준일자)*(OFFSET(회계장부!$G$1,L33,,$J$13-L33+1,)=L$14),0)+L33,"")</f>
        <v/>
      </c>
    </row>
    <row r="35" spans="10:12" ht="25" customHeight="1" thickBot="1">
      <c r="J35" s="56">
        <v>20</v>
      </c>
      <c r="K35" s="65" t="str">
        <f t="array" aca="1" ref="K35" ca="1">IF($J35&lt;=K$15,MATCH(1,(OFFSET(회계장부!$A$1,K34,,$J$13-K34+1,)=기준일자)*(OFFSET(회계장부!$G$1,K34,,$J$13-K34+1,)=K$14),0)+K34,"")</f>
        <v/>
      </c>
      <c r="L35" s="69" t="str">
        <f t="array" aca="1" ref="L35" ca="1">IF($J35&lt;=L$15,MATCH(1,(OFFSET(회계장부!$A$1,L34,,$J$13-L34+1,)=기준일자)*(OFFSET(회계장부!$G$1,L34,,$J$13-L34+1,)=L$14),0)+L34,"")</f>
        <v/>
      </c>
    </row>
    <row r="36" spans="10:12" ht="25" customHeight="1" thickBot="1">
      <c r="J36" s="56">
        <v>21</v>
      </c>
      <c r="K36" s="65" t="str">
        <f t="array" aca="1" ref="K36" ca="1">IF($J36&lt;=K$15,MATCH(1,(OFFSET(회계장부!$A$1,K35,,$J$13-K35+1,)=기준일자)*(OFFSET(회계장부!$G$1,K35,,$J$13-K35+1,)=K$14),0)+K35,"")</f>
        <v/>
      </c>
      <c r="L36" s="69" t="str">
        <f t="array" aca="1" ref="L36" ca="1">IF($J36&lt;=L$15,MATCH(1,(OFFSET(회계장부!$A$1,L35,,$J$13-L35+1,)=기준일자)*(OFFSET(회계장부!$G$1,L35,,$J$13-L35+1,)=L$14),0)+L35,"")</f>
        <v/>
      </c>
    </row>
    <row r="37" spans="10:12" ht="25" customHeight="1">
      <c r="J37" s="56">
        <v>22</v>
      </c>
      <c r="K37" s="66" t="str">
        <f t="array" aca="1" ref="K37" ca="1">IF($J37&lt;=K$15,MATCH(1,(OFFSET(회계장부!$A$1,K36,,$J$13-K36+1,)=기준일자)*(OFFSET(회계장부!$G$1,K36,,$J$13-K36+1,)=K$14),0)+K36,"")</f>
        <v/>
      </c>
      <c r="L37" s="63"/>
    </row>
    <row r="38" spans="10:12" ht="25" customHeight="1">
      <c r="J38" s="56">
        <v>23</v>
      </c>
      <c r="K38" s="66" t="str">
        <f t="array" aca="1" ref="K38" ca="1">IF($J38&lt;=K$15,MATCH(1,(OFFSET(회계장부!$A$1,K37,,$J$13-K37+1,)=기준일자)*(OFFSET(회계장부!$G$1,K37,,$J$13-K37+1,)=K$14),0)+K37,"")</f>
        <v/>
      </c>
    </row>
    <row r="39" spans="10:12" ht="25" customHeight="1">
      <c r="J39" s="56">
        <v>24</v>
      </c>
      <c r="K39" s="66" t="str">
        <f t="array" aca="1" ref="K39" ca="1">IF($J39&lt;=K$15,MATCH(1,(OFFSET(회계장부!$A$1,K38,,$J$13-K38+1,)=기준일자)*(OFFSET(회계장부!$G$1,K38,,$J$13-K38+1,)=K$14),0)+K38,"")</f>
        <v/>
      </c>
    </row>
    <row r="40" spans="10:12" ht="25" customHeight="1">
      <c r="J40" s="56">
        <v>25</v>
      </c>
      <c r="K40" s="66" t="str">
        <f t="array" aca="1" ref="K40" ca="1">IF($J40&lt;=K$15,MATCH(1,(OFFSET(회계장부!$A$1,K39,,$J$13-K39+1,)=기준일자)*(OFFSET(회계장부!$G$1,K39,,$J$13-K39+1,)=K$14),0)+K39,"")</f>
        <v/>
      </c>
    </row>
    <row r="41" spans="10:12" ht="25" customHeight="1">
      <c r="J41" s="56">
        <v>26</v>
      </c>
      <c r="K41" s="66" t="str">
        <f t="array" aca="1" ref="K41" ca="1">IF($J41&lt;=K$15,MATCH(1,(OFFSET(회계장부!$A$1,K40,,$J$13-K40+1,)=기준일자)*(OFFSET(회계장부!$G$1,K40,,$J$13-K40+1,)=K$14),0)+K40,"")</f>
        <v/>
      </c>
    </row>
    <row r="42" spans="10:12" ht="25" customHeight="1">
      <c r="J42" s="56">
        <v>27</v>
      </c>
      <c r="K42" s="66" t="str">
        <f t="array" aca="1" ref="K42" ca="1">IF($J42&lt;=K$15,MATCH(1,(OFFSET(회계장부!$A$1,K41,,$J$13-K41+1,)=기준일자)*(OFFSET(회계장부!$G$1,K41,,$J$13-K41+1,)=K$14),0)+K41,"")</f>
        <v/>
      </c>
    </row>
    <row r="43" spans="10:12" ht="25" customHeight="1">
      <c r="J43" s="56">
        <v>28</v>
      </c>
      <c r="K43" s="66" t="str">
        <f t="array" aca="1" ref="K43" ca="1">IF($J43&lt;=K$15,MATCH(1,(OFFSET(회계장부!$A$1,K42,,$J$13-K42+1,)=기준일자)*(OFFSET(회계장부!$G$1,K42,,$J$13-K42+1,)=K$14),0)+K42,"")</f>
        <v/>
      </c>
    </row>
    <row r="44" spans="10:12" ht="25" customHeight="1">
      <c r="J44" s="56">
        <v>29</v>
      </c>
      <c r="K44" s="66" t="str">
        <f t="array" aca="1" ref="K44" ca="1">IF($J44&lt;=K$15,MATCH(1,(OFFSET(회계장부!$A$1,K43,,$J$13-K43+1,)=기준일자)*(OFFSET(회계장부!$G$1,K43,,$J$13-K43+1,)=K$14),0)+K43,"")</f>
        <v/>
      </c>
    </row>
    <row r="45" spans="10:12" ht="25" customHeight="1">
      <c r="J45" s="56">
        <v>30</v>
      </c>
      <c r="K45" s="66" t="str">
        <f t="array" aca="1" ref="K45" ca="1">IF($J45&lt;=K$15,MATCH(1,(OFFSET(회계장부!$A$1,K44,,$J$13-K44+1,)=기준일자)*(OFFSET(회계장부!$G$1,K44,,$J$13-K44+1,)=K$14),0)+K44,"")</f>
        <v/>
      </c>
    </row>
    <row r="46" spans="10:12" ht="25" customHeight="1">
      <c r="J46" s="56">
        <v>31</v>
      </c>
      <c r="K46" s="66" t="str">
        <f t="array" aca="1" ref="K46" ca="1">IF($J46&lt;=K$15,MATCH(1,(OFFSET(회계장부!$A$1,K45,,$J$13-K45+1,)=기준일자)*(OFFSET(회계장부!$G$1,K45,,$J$13-K45+1,)=K$14),0)+K45,"")</f>
        <v/>
      </c>
    </row>
    <row r="47" spans="10:12" ht="25" customHeight="1">
      <c r="J47" s="56">
        <v>32</v>
      </c>
      <c r="K47" s="66" t="str">
        <f t="array" aca="1" ref="K47" ca="1">IF($J47&lt;=K$15,MATCH(1,(OFFSET(회계장부!$A$1,K46,,$J$13-K46+1,)=기준일자)*(OFFSET(회계장부!$G$1,K46,,$J$13-K46+1,)=K$14),0)+K46,"")</f>
        <v/>
      </c>
    </row>
    <row r="48" spans="10:12" ht="25" customHeight="1" thickBot="1">
      <c r="J48" s="56">
        <v>33</v>
      </c>
      <c r="K48" s="67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Su9XJNYlWryg9eDGmz2ZgU4SLgeQai1GPsAQmMY9f8cvgtEx5qti/R437CeA0hlK6IrkXvf+2Ooq3BIkNA6v/w==" saltValue="WIjqeHD9GANoIJaLRu/K4A==" spinCount="100000" sheet="1" objects="1" scenarios="1" selectLockedCells="1"/>
  <mergeCells count="73">
    <mergeCell ref="C5:F5"/>
    <mergeCell ref="G5:H5"/>
    <mergeCell ref="A1:H1"/>
    <mergeCell ref="A2:H2"/>
    <mergeCell ref="B3:E3"/>
    <mergeCell ref="F3:G3"/>
    <mergeCell ref="E4:F4"/>
    <mergeCell ref="A6:A14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D21:E21"/>
    <mergeCell ref="F21:G21"/>
    <mergeCell ref="B22:C22"/>
    <mergeCell ref="A15:A17"/>
    <mergeCell ref="B15:C15"/>
    <mergeCell ref="D15:F15"/>
    <mergeCell ref="G15:H15"/>
    <mergeCell ref="E16:F16"/>
    <mergeCell ref="E17:F17"/>
    <mergeCell ref="A18:A19"/>
    <mergeCell ref="E18:F18"/>
    <mergeCell ref="G18:H18"/>
    <mergeCell ref="E19:F19"/>
    <mergeCell ref="G19:H19"/>
    <mergeCell ref="D22:E22"/>
    <mergeCell ref="F22:G22"/>
    <mergeCell ref="B24:C24"/>
    <mergeCell ref="D24:E24"/>
    <mergeCell ref="F24:G24"/>
    <mergeCell ref="B23:C23"/>
    <mergeCell ref="D23:E23"/>
    <mergeCell ref="F23:G23"/>
    <mergeCell ref="B25:C25"/>
    <mergeCell ref="D25:E25"/>
    <mergeCell ref="F25:G25"/>
    <mergeCell ref="A29:H29"/>
    <mergeCell ref="A26:A28"/>
    <mergeCell ref="B26:C26"/>
    <mergeCell ref="D26:F26"/>
    <mergeCell ref="G26:H26"/>
    <mergeCell ref="B27:C28"/>
    <mergeCell ref="D27:F28"/>
    <mergeCell ref="G27:H28"/>
    <mergeCell ref="A20:A25"/>
    <mergeCell ref="B20:C20"/>
    <mergeCell ref="D20:E20"/>
    <mergeCell ref="F20:G20"/>
    <mergeCell ref="B21:C21"/>
  </mergeCells>
  <phoneticPr fontId="2" type="noConversion"/>
  <conditionalFormatting sqref="A2:H2">
    <cfRule type="expression" dxfId="27" priority="5">
      <formula>LEN(A2)&gt;0</formula>
    </cfRule>
  </conditionalFormatting>
  <conditionalFormatting sqref="F13:G13">
    <cfRule type="containsText" dxfId="26" priority="4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25" priority="3" operator="containsText" text="&lt;&lt; 다음면에 계속 &gt;&gt;">
      <formula>NOT(ISERROR(SEARCH("&lt;&lt; 다음면에 계속 &gt;&gt;",F24)))</formula>
    </cfRule>
  </conditionalFormatting>
  <conditionalFormatting sqref="A1:H29">
    <cfRule type="expression" dxfId="24" priority="1">
      <formula>OR($L$15&lt;11,$L$15&gt;21)</formula>
    </cfRule>
    <cfRule type="expression" dxfId="23" priority="2">
      <formula>OR($K$15&lt;17,$K$15&gt;33)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5"/>
  <sheetViews>
    <sheetView showGridLines="0" showRowColHeaders="0" zoomScaleNormal="100" workbookViewId="0">
      <selection activeCell="I10" sqref="I10"/>
    </sheetView>
  </sheetViews>
  <sheetFormatPr defaultRowHeight="25" customHeight="1"/>
  <cols>
    <col min="1" max="1" width="9" style="1"/>
    <col min="2" max="6" width="15.58203125" style="4" customWidth="1"/>
    <col min="7" max="8" width="9" style="4"/>
  </cols>
  <sheetData>
    <row r="1" spans="1:6" customFormat="1" ht="25" customHeight="1" thickTop="1" thickBot="1">
      <c r="A1" s="258" t="s">
        <v>41</v>
      </c>
      <c r="B1" s="397" t="s">
        <v>36</v>
      </c>
      <c r="C1" s="397"/>
      <c r="D1" s="397" t="s">
        <v>27</v>
      </c>
      <c r="E1" s="397"/>
      <c r="F1" s="398" t="s">
        <v>37</v>
      </c>
    </row>
    <row r="2" spans="1:6" customFormat="1" ht="25" customHeight="1" thickBot="1">
      <c r="A2" s="259" t="s">
        <v>11</v>
      </c>
      <c r="B2" s="260" t="s">
        <v>13</v>
      </c>
      <c r="C2" s="260" t="s">
        <v>14</v>
      </c>
      <c r="D2" s="260" t="s">
        <v>13</v>
      </c>
      <c r="E2" s="260" t="s">
        <v>14</v>
      </c>
      <c r="F2" s="399"/>
    </row>
    <row r="3" spans="1:6" customFormat="1" ht="25" customHeight="1" thickBot="1">
      <c r="A3" s="259">
        <v>1</v>
      </c>
      <c r="B3" s="261">
        <f>SUMIFS(수입,회계월,월별누계!A3)</f>
        <v>270000</v>
      </c>
      <c r="C3" s="261">
        <f>SUMIFS(지출,회계월,월별누계!A3)</f>
        <v>50000</v>
      </c>
      <c r="D3" s="261">
        <f>SUMIFS(수입,회계월,"&lt;="&amp; 월별누계!A3)</f>
        <v>270000</v>
      </c>
      <c r="E3" s="261">
        <f>SUMIFS(지출,회계월,"&lt;="&amp; 월별누계!A3)</f>
        <v>50000</v>
      </c>
      <c r="F3" s="262">
        <f>D3-E3</f>
        <v>220000</v>
      </c>
    </row>
    <row r="4" spans="1:6" customFormat="1" ht="25" customHeight="1" thickBot="1">
      <c r="A4" s="259">
        <v>2</v>
      </c>
      <c r="B4" s="261">
        <f>SUMIFS(수입,회계월,월별누계!A4)</f>
        <v>0</v>
      </c>
      <c r="C4" s="261">
        <f>SUMIFS(지출,회계월,월별누계!A4)</f>
        <v>0</v>
      </c>
      <c r="D4" s="261">
        <f>SUMIFS(수입,회계월,"&lt;="&amp; 월별누계!A4)</f>
        <v>270000</v>
      </c>
      <c r="E4" s="261">
        <f>SUMIFS(지출,회계월,"&lt;="&amp; 월별누계!A4)</f>
        <v>50000</v>
      </c>
      <c r="F4" s="262">
        <f t="shared" ref="F4:F14" si="0">D4-E4</f>
        <v>220000</v>
      </c>
    </row>
    <row r="5" spans="1:6" customFormat="1" ht="25" customHeight="1" thickBot="1">
      <c r="A5" s="259">
        <v>3</v>
      </c>
      <c r="B5" s="261">
        <f>SUMIFS(수입,회계월,월별누계!A5)</f>
        <v>0</v>
      </c>
      <c r="C5" s="261">
        <f>SUMIFS(지출,회계월,월별누계!A5)</f>
        <v>0</v>
      </c>
      <c r="D5" s="261">
        <f>IF(AND(B5=0,C5=0),0,SUMIFS(수입,회계월,"&lt;="&amp; 월별누계!A5))</f>
        <v>0</v>
      </c>
      <c r="E5" s="261">
        <f>IF(AND(B5=0,C5=0),0,SUMIFS(지출,회계월,"&lt;="&amp; 월별누계!A5))</f>
        <v>0</v>
      </c>
      <c r="F5" s="262">
        <f t="shared" si="0"/>
        <v>0</v>
      </c>
    </row>
    <row r="6" spans="1:6" customFormat="1" ht="25" customHeight="1" thickBot="1">
      <c r="A6" s="259">
        <v>4</v>
      </c>
      <c r="B6" s="261">
        <f>SUMIFS(수입,회계월,월별누계!A6)</f>
        <v>0</v>
      </c>
      <c r="C6" s="261">
        <f>SUMIFS(지출,회계월,월별누계!A6)</f>
        <v>0</v>
      </c>
      <c r="D6" s="261">
        <f>IF(AND(B6=0,C6=0),0,SUMIFS(수입,회계월,"&lt;="&amp; 월별누계!A6))</f>
        <v>0</v>
      </c>
      <c r="E6" s="261">
        <f>IF(AND(B6=0,C6=0),0,SUMIFS(지출,회계월,"&lt;="&amp; 월별누계!A6))</f>
        <v>0</v>
      </c>
      <c r="F6" s="262">
        <f t="shared" si="0"/>
        <v>0</v>
      </c>
    </row>
    <row r="7" spans="1:6" customFormat="1" ht="25" customHeight="1" thickBot="1">
      <c r="A7" s="259">
        <v>5</v>
      </c>
      <c r="B7" s="261">
        <f>SUMIFS(수입,회계월,월별누계!A7)</f>
        <v>0</v>
      </c>
      <c r="C7" s="261">
        <f>SUMIFS(지출,회계월,월별누계!A7)</f>
        <v>0</v>
      </c>
      <c r="D7" s="261">
        <f>IF(AND(B7=0,C7=0),0,SUMIFS(수입,회계월,"&lt;="&amp; 월별누계!A7))</f>
        <v>0</v>
      </c>
      <c r="E7" s="261">
        <f>IF(AND(B7=0,C7=0),0,SUMIFS(지출,회계월,"&lt;="&amp; 월별누계!A7))</f>
        <v>0</v>
      </c>
      <c r="F7" s="262">
        <f t="shared" si="0"/>
        <v>0</v>
      </c>
    </row>
    <row r="8" spans="1:6" customFormat="1" ht="25" customHeight="1" thickBot="1">
      <c r="A8" s="259">
        <v>6</v>
      </c>
      <c r="B8" s="261">
        <f>SUMIFS(수입,회계월,월별누계!A8)</f>
        <v>0</v>
      </c>
      <c r="C8" s="261">
        <f>SUMIFS(지출,회계월,월별누계!A8)</f>
        <v>0</v>
      </c>
      <c r="D8" s="261">
        <f>IF(AND(B8=0,C8=0),0,SUMIFS(수입,회계월,"&lt;="&amp; 월별누계!A8))</f>
        <v>0</v>
      </c>
      <c r="E8" s="261">
        <f>IF(AND(B8=0,C8=0),0,SUMIFS(지출,회계월,"&lt;="&amp; 월별누계!A8))</f>
        <v>0</v>
      </c>
      <c r="F8" s="262">
        <f t="shared" si="0"/>
        <v>0</v>
      </c>
    </row>
    <row r="9" spans="1:6" customFormat="1" ht="25" customHeight="1" thickBot="1">
      <c r="A9" s="259">
        <v>7</v>
      </c>
      <c r="B9" s="261">
        <f>SUMIFS(수입,회계월,월별누계!A9)</f>
        <v>0</v>
      </c>
      <c r="C9" s="261">
        <f>SUMIFS(지출,회계월,월별누계!A9)</f>
        <v>0</v>
      </c>
      <c r="D9" s="261">
        <f>IF(AND(B9=0,C9=0),0,SUMIFS(수입,회계월,"&lt;="&amp; 월별누계!A9))</f>
        <v>0</v>
      </c>
      <c r="E9" s="261">
        <f>IF(AND(B9=0,C9=0),0,SUMIFS(지출,회계월,"&lt;="&amp; 월별누계!A9))</f>
        <v>0</v>
      </c>
      <c r="F9" s="262">
        <f t="shared" si="0"/>
        <v>0</v>
      </c>
    </row>
    <row r="10" spans="1:6" customFormat="1" ht="25" customHeight="1" thickBot="1">
      <c r="A10" s="259">
        <v>8</v>
      </c>
      <c r="B10" s="261">
        <f>SUMIFS(수입,회계월,월별누계!A10)</f>
        <v>0</v>
      </c>
      <c r="C10" s="261">
        <f>SUMIFS(지출,회계월,월별누계!A10)</f>
        <v>0</v>
      </c>
      <c r="D10" s="261">
        <f>IF(AND(B10=0,C10=0),0,SUMIFS(수입,회계월,"&lt;="&amp; 월별누계!A10))</f>
        <v>0</v>
      </c>
      <c r="E10" s="261">
        <f>IF(AND(B10=0,C10=0),0,SUMIFS(지출,회계월,"&lt;="&amp; 월별누계!A10))</f>
        <v>0</v>
      </c>
      <c r="F10" s="262">
        <f t="shared" si="0"/>
        <v>0</v>
      </c>
    </row>
    <row r="11" spans="1:6" customFormat="1" ht="25" customHeight="1" thickBot="1">
      <c r="A11" s="259">
        <v>9</v>
      </c>
      <c r="B11" s="261">
        <f>SUMIFS(수입,회계월,월별누계!A11)</f>
        <v>0</v>
      </c>
      <c r="C11" s="261">
        <f>SUMIFS(지출,회계월,월별누계!A11)</f>
        <v>0</v>
      </c>
      <c r="D11" s="261">
        <f>IF(AND(B11=0,C11=0),0,SUMIFS(수입,회계월,"&lt;="&amp; 월별누계!A11))</f>
        <v>0</v>
      </c>
      <c r="E11" s="261">
        <f>IF(AND(B11=0,C11=0),0,SUMIFS(지출,회계월,"&lt;="&amp; 월별누계!A11))</f>
        <v>0</v>
      </c>
      <c r="F11" s="262">
        <f t="shared" si="0"/>
        <v>0</v>
      </c>
    </row>
    <row r="12" spans="1:6" customFormat="1" ht="25" customHeight="1" thickBot="1">
      <c r="A12" s="259">
        <v>10</v>
      </c>
      <c r="B12" s="261">
        <f>SUMIFS(수입,회계월,월별누계!A12)</f>
        <v>0</v>
      </c>
      <c r="C12" s="261">
        <f>SUMIFS(지출,회계월,월별누계!A12)</f>
        <v>0</v>
      </c>
      <c r="D12" s="261">
        <f>IF(AND(B12=0,C12=0),0,SUMIFS(수입,회계월,"&lt;="&amp; 월별누계!A12))</f>
        <v>0</v>
      </c>
      <c r="E12" s="261">
        <f>IF(AND(B12=0,C12=0),0,SUMIFS(지출,회계월,"&lt;="&amp; 월별누계!A12))</f>
        <v>0</v>
      </c>
      <c r="F12" s="262">
        <f t="shared" si="0"/>
        <v>0</v>
      </c>
    </row>
    <row r="13" spans="1:6" customFormat="1" ht="25" customHeight="1" thickBot="1">
      <c r="A13" s="259">
        <v>11</v>
      </c>
      <c r="B13" s="261">
        <f>SUMIFS(수입,회계월,월별누계!A13)</f>
        <v>0</v>
      </c>
      <c r="C13" s="261">
        <f>SUMIFS(지출,회계월,월별누계!A13)</f>
        <v>0</v>
      </c>
      <c r="D13" s="261">
        <f>IF(AND(B13=0,C13=0),0,SUMIFS(수입,회계월,"&lt;="&amp; 월별누계!A13))</f>
        <v>0</v>
      </c>
      <c r="E13" s="261">
        <f>IF(AND(B13=0,C13=0),0,SUMIFS(지출,회계월,"&lt;="&amp; 월별누계!A13))</f>
        <v>0</v>
      </c>
      <c r="F13" s="262">
        <f t="shared" si="0"/>
        <v>0</v>
      </c>
    </row>
    <row r="14" spans="1:6" customFormat="1" ht="25" customHeight="1" thickBot="1">
      <c r="A14" s="263">
        <v>12</v>
      </c>
      <c r="B14" s="264">
        <f>SUMIFS(수입,회계월,월별누계!A14)</f>
        <v>0</v>
      </c>
      <c r="C14" s="264">
        <f>SUMIFS(지출,회계월,월별누계!A14)</f>
        <v>0</v>
      </c>
      <c r="D14" s="264">
        <f>IF(AND(B14=0,C14=0),0,SUMIFS(수입,회계월,"&lt;="&amp; 월별누계!A14))</f>
        <v>0</v>
      </c>
      <c r="E14" s="264">
        <f>IF(AND(B14=0,C14=0),0,SUMIFS(지출,회계월,"&lt;="&amp; 월별누계!A14))</f>
        <v>0</v>
      </c>
      <c r="F14" s="265">
        <f t="shared" si="0"/>
        <v>0</v>
      </c>
    </row>
    <row r="15" spans="1:6" ht="25" customHeight="1" thickTop="1"/>
  </sheetData>
  <sheetProtection algorithmName="SHA-512" hashValue="bTAqgqZw5eIFhero3mi67DVg+Hg0ZJTEoOHV5/rTund1lLiT5IUR6X7enfLoVfh6hR1s1uS5Jm/D8JcTA6g16A==" saltValue="5XZWto0Tuk1OpimnFEb2eQ==" spinCount="100000" sheet="1" objects="1" scenarios="1" selectLockedCells="1"/>
  <mergeCells count="3">
    <mergeCell ref="B1:C1"/>
    <mergeCell ref="D1:E1"/>
    <mergeCell ref="F1:F2"/>
  </mergeCells>
  <phoneticPr fontId="2" type="noConversion"/>
  <pageMargins left="0.25" right="0.25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0A2A-6021-4C6F-B816-B9E67F2A3A57}">
  <dimension ref="A1:K55"/>
  <sheetViews>
    <sheetView showGridLines="0" showRowColHeaders="0" zoomScaleNormal="100" zoomScaleSheetLayoutView="100" workbookViewId="0">
      <selection activeCell="K3" sqref="K3"/>
    </sheetView>
  </sheetViews>
  <sheetFormatPr defaultColWidth="9" defaultRowHeight="17"/>
  <cols>
    <col min="1" max="1" width="12.5" style="91" customWidth="1"/>
    <col min="2" max="2" width="20.25" style="91" customWidth="1"/>
    <col min="3" max="3" width="12.83203125" customWidth="1"/>
    <col min="4" max="4" width="14.83203125" bestFit="1" customWidth="1"/>
    <col min="5" max="5" width="12.5" customWidth="1"/>
    <col min="6" max="6" width="20.33203125" customWidth="1"/>
    <col min="7" max="7" width="12.83203125" customWidth="1"/>
    <col min="8" max="8" width="14.83203125" bestFit="1" customWidth="1"/>
    <col min="11" max="11" width="12.5" style="90" bestFit="1" customWidth="1"/>
  </cols>
  <sheetData>
    <row r="1" spans="1:11" ht="23.5" thickBot="1">
      <c r="A1" s="400" t="str">
        <f>IF(ISERROR(FIND("오류",회계코드!$B$29,1)),"회계 보고서","회계코드 설정에 오류가 있습니다.")</f>
        <v>회계 보고서</v>
      </c>
      <c r="B1" s="400"/>
      <c r="C1" s="400"/>
      <c r="D1" s="400"/>
      <c r="E1" s="400"/>
      <c r="F1" s="400"/>
      <c r="G1" s="400"/>
      <c r="H1" s="400"/>
    </row>
    <row r="2" spans="1:11" ht="20.25" customHeight="1" thickTop="1">
      <c r="A2" s="401" t="str">
        <f>"(대상기간 : " &amp; YEAR(K3) &amp; "년 " &amp; MONTH(K3) &amp; "월 " &amp; DAY(K3) &amp; "일" &amp; " - " &amp; IF(YEAR(K3)&lt;&gt;YEAR(K4),YEAR(K4) &amp; "년 ","") &amp; MONTH(K4) &amp; "월 " &amp; DAY(K4) &amp; "일" &amp; ")"</f>
        <v>(대상기간 : 2023년 1월 1일 - 1월 31일)</v>
      </c>
      <c r="B2" s="401"/>
      <c r="C2" s="401"/>
      <c r="D2" s="401"/>
      <c r="E2" s="401"/>
      <c r="F2" s="401"/>
      <c r="G2" s="401"/>
      <c r="H2" s="401"/>
      <c r="J2" s="238" t="s">
        <v>85</v>
      </c>
      <c r="K2" s="239" t="s">
        <v>86</v>
      </c>
    </row>
    <row r="3" spans="1:11" ht="17.25" customHeight="1" thickBot="1">
      <c r="A3" s="408" t="str">
        <f>IF(LEN(교회명)&gt;0,IF(LEN(부서명)&gt;0,교회명&amp;" "&amp;부서명,"[오류] 회계코드 Sheet에서 부서명을 입력하세요."),"[오류] 회계코드 Sheet에서 교회명을 입력하세요.")</f>
        <v>대구동부교회 재정부</v>
      </c>
      <c r="B3" s="408"/>
      <c r="C3" s="408"/>
      <c r="D3" s="408"/>
      <c r="E3" s="408"/>
      <c r="F3" s="408"/>
      <c r="G3" s="408"/>
      <c r="H3" s="408"/>
      <c r="J3" s="240" t="s">
        <v>87</v>
      </c>
      <c r="K3" s="241">
        <v>44927</v>
      </c>
    </row>
    <row r="4" spans="1:11" s="46" customFormat="1" ht="18" customHeight="1" thickBot="1">
      <c r="A4" s="402" t="s">
        <v>13</v>
      </c>
      <c r="B4" s="402"/>
      <c r="C4" s="403"/>
      <c r="D4" s="404"/>
      <c r="E4" s="405" t="s">
        <v>14</v>
      </c>
      <c r="F4" s="402"/>
      <c r="G4" s="403"/>
      <c r="H4" s="404"/>
      <c r="J4" s="242" t="s">
        <v>88</v>
      </c>
      <c r="K4" s="243">
        <v>44957</v>
      </c>
    </row>
    <row r="5" spans="1:11" s="46" customFormat="1" ht="18" customHeight="1" thickTop="1" thickBot="1">
      <c r="A5" s="101" t="s">
        <v>7</v>
      </c>
      <c r="B5" s="102" t="s">
        <v>6</v>
      </c>
      <c r="C5" s="406" t="s">
        <v>89</v>
      </c>
      <c r="D5" s="407"/>
      <c r="E5" s="103" t="s">
        <v>7</v>
      </c>
      <c r="F5" s="102" t="s">
        <v>6</v>
      </c>
      <c r="G5" s="406" t="s">
        <v>90</v>
      </c>
      <c r="H5" s="407"/>
      <c r="K5" s="104"/>
    </row>
    <row r="6" spans="1:11" s="46" customFormat="1" ht="18" customHeight="1" thickTop="1">
      <c r="A6" s="159" t="str">
        <f t="shared" ref="A6:A52" si="0">IFERROR(VLOOKUP(ROW(A6),수입관정렬,2,FALSE),"")</f>
        <v>교회보조금</v>
      </c>
      <c r="B6" s="164" t="str">
        <f t="shared" ref="B6:B52" si="1">IFERROR(VLOOKUP(ROW(B6),수입항목정렬,2,FALSE),"")</f>
        <v>교회지원금</v>
      </c>
      <c r="C6" s="107">
        <f>IF(B6="","",SUMIFS(수입,항목,B6,회계장부!A:A,"&gt;="&amp;기준일자_시작일,회계장부!A:A,"&lt;="&amp;기준일자_종료일))</f>
        <v>0</v>
      </c>
      <c r="D6" s="160">
        <f ca="1">IF(LEN(A6)&gt;0,SUM(OFFSET(C6,,,INDEX(회계코드!$A$27:$O$27,,MATCH(A6,회계코드!$A$5:$O$5,0)),1)),"")</f>
        <v>0</v>
      </c>
      <c r="E6" s="105" t="str">
        <f t="shared" ref="E6:E52" si="2">IFERROR(VLOOKUP(ROW(E6),지출관정렬,2,FALSE),"")</f>
        <v>간식/식대비</v>
      </c>
      <c r="F6" s="106" t="str">
        <f t="shared" ref="F6:F52" si="3">IFERROR(VLOOKUP(ROW(F6),지출항목정렬,2,FALSE),"")</f>
        <v>생일간식</v>
      </c>
      <c r="G6" s="107">
        <f>IF(F6="","",SUMIFS(지출,항목,F6,회계장부!A:A,"&gt;="&amp;기준일자_시작일,회계장부!A:A,"&lt;="&amp;기준일자_종료일))</f>
        <v>0</v>
      </c>
      <c r="H6" s="108">
        <f ca="1">IF(LEN(E6)&gt;0,SUM(OFFSET(G6,,,INDEX(회계코드!$A$52:$O$52,,MATCH(E6,회계코드!$A$30:$O$30,0)),1)),"")</f>
        <v>50000</v>
      </c>
      <c r="K6" s="104"/>
    </row>
    <row r="7" spans="1:11" s="46" customFormat="1" ht="18" customHeight="1">
      <c r="A7" s="158" t="str">
        <f t="shared" si="0"/>
        <v/>
      </c>
      <c r="B7" s="165" t="str">
        <f t="shared" si="1"/>
        <v>재배정금</v>
      </c>
      <c r="C7" s="111">
        <f>IF(B7="","",SUMIFS(수입,항목,B7,회계장부!A:A,"&gt;="&amp;기준일자_시작일,회계장부!A:A,"&lt;="&amp;기준일자_종료일))</f>
        <v>0</v>
      </c>
      <c r="D7" s="161" t="str">
        <f ca="1">IF(LEN(A7)&gt;0,SUM(OFFSET(C7,,,INDEX(회계코드!$A$27:$O$27,,MATCH(A7,회계코드!$A$5:$O$5,0)),1)),"")</f>
        <v/>
      </c>
      <c r="E7" s="109" t="str">
        <f>IFERROR(VLOOKUP(ROW(E7),지출관정렬,2,FALSE),"")</f>
        <v/>
      </c>
      <c r="F7" s="110" t="str">
        <f t="shared" si="3"/>
        <v>임원식사</v>
      </c>
      <c r="G7" s="111">
        <f>IF(F7="","",SUMIFS(지출,항목,F7,회계장부!A:A,"&gt;="&amp;기준일자_시작일,회계장부!A:A,"&lt;="&amp;기준일자_종료일))</f>
        <v>0</v>
      </c>
      <c r="H7" s="112" t="str">
        <f ca="1">IF(LEN(E7)&gt;0,SUM(OFFSET(G7,,,INDEX(회계코드!$A$52:$O$52,,MATCH(E7,회계코드!$A$30:$O$30,0)),1)),"")</f>
        <v/>
      </c>
      <c r="K7" s="104"/>
    </row>
    <row r="8" spans="1:11" s="46" customFormat="1" ht="18" customHeight="1">
      <c r="A8" s="158" t="str">
        <f t="shared" si="0"/>
        <v>헌금/회비</v>
      </c>
      <c r="B8" s="165" t="str">
        <f t="shared" si="1"/>
        <v>주일헌금</v>
      </c>
      <c r="C8" s="111">
        <f>IF(B8="","",SUMIFS(수입,항목,B8,회계장부!A:A,"&gt;="&amp;기준일자_시작일,회계장부!A:A,"&lt;="&amp;기준일자_종료일))</f>
        <v>0</v>
      </c>
      <c r="D8" s="161">
        <f ca="1">IF(LEN(A8)&gt;0,SUM(OFFSET(C8,,,INDEX(회계코드!$A$27:$O$27,,MATCH(A8,회계코드!$A$5:$O$5,0)),1)),"")</f>
        <v>0</v>
      </c>
      <c r="E8" s="109" t="str">
        <f t="shared" si="2"/>
        <v/>
      </c>
      <c r="F8" s="110" t="str">
        <f t="shared" si="3"/>
        <v>기도회간식</v>
      </c>
      <c r="G8" s="111">
        <f>IF(F8="","",SUMIFS(지출,항목,F8,회계장부!A:A,"&gt;="&amp;기준일자_시작일,회계장부!A:A,"&lt;="&amp;기준일자_종료일))</f>
        <v>0</v>
      </c>
      <c r="H8" s="112" t="str">
        <f ca="1">IF(LEN(E8)&gt;0,SUM(OFFSET(G8,,,INDEX(회계코드!$A$52:$O$52,,MATCH(E8,회계코드!$A$30:$O$30,0)),1)),"")</f>
        <v/>
      </c>
      <c r="K8" s="104"/>
    </row>
    <row r="9" spans="1:11" s="46" customFormat="1" ht="18" customHeight="1">
      <c r="A9" s="158" t="str">
        <f t="shared" si="0"/>
        <v/>
      </c>
      <c r="B9" s="165" t="str">
        <f t="shared" si="1"/>
        <v>십일조헌금</v>
      </c>
      <c r="C9" s="111">
        <f>IF(B9="","",SUMIFS(수입,항목,B9,회계장부!A:A,"&gt;="&amp;기준일자_시작일,회계장부!A:A,"&lt;="&amp;기준일자_종료일))</f>
        <v>0</v>
      </c>
      <c r="D9" s="161" t="str">
        <f ca="1">IF(LEN(A9)&gt;0,SUM(OFFSET(C9,,,INDEX(회계코드!$A$27:$O$27,,MATCH(A9,회계코드!$A$5:$O$5,0)),1)),"")</f>
        <v/>
      </c>
      <c r="E9" s="109" t="str">
        <f t="shared" si="2"/>
        <v/>
      </c>
      <c r="F9" s="110" t="str">
        <f t="shared" si="3"/>
        <v>월례회간식</v>
      </c>
      <c r="G9" s="111">
        <f>IF(F9="","",SUMIFS(지출,항목,F9,회계장부!A:A,"&gt;="&amp;기준일자_시작일,회계장부!A:A,"&lt;="&amp;기준일자_종료일))</f>
        <v>0</v>
      </c>
      <c r="H9" s="112" t="str">
        <f ca="1">IF(LEN(E9)&gt;0,SUM(OFFSET(G9,,,INDEX(회계코드!$A$52:$O$52,,MATCH(E9,회계코드!$A$30:$O$30,0)),1)),"")</f>
        <v/>
      </c>
      <c r="K9" s="104"/>
    </row>
    <row r="10" spans="1:11" s="46" customFormat="1" ht="18" customHeight="1">
      <c r="A10" s="158" t="str">
        <f t="shared" si="0"/>
        <v/>
      </c>
      <c r="B10" s="165" t="str">
        <f t="shared" si="1"/>
        <v>감사헌금</v>
      </c>
      <c r="C10" s="111">
        <f>IF(B10="","",SUMIFS(수입,항목,B10,회계장부!A:A,"&gt;="&amp;기준일자_시작일,회계장부!A:A,"&lt;="&amp;기준일자_종료일))</f>
        <v>0</v>
      </c>
      <c r="D10" s="161" t="str">
        <f ca="1">IF(LEN(A10)&gt;0,SUM(OFFSET(C10,,,INDEX(회계코드!$A$27:$O$27,,MATCH(A10,회계코드!$A$5:$O$5,0)),1)),"")</f>
        <v/>
      </c>
      <c r="E10" s="109" t="str">
        <f t="shared" si="2"/>
        <v/>
      </c>
      <c r="F10" s="110" t="str">
        <f t="shared" si="3"/>
        <v>감사해요</v>
      </c>
      <c r="G10" s="111">
        <f>IF(F10="","",SUMIFS(지출,항목,F10,회계장부!A:A,"&gt;="&amp;기준일자_시작일,회계장부!A:A,"&lt;="&amp;기준일자_종료일))</f>
        <v>50000</v>
      </c>
      <c r="H10" s="112" t="str">
        <f ca="1">IF(LEN(E10)&gt;0,SUM(OFFSET(G10,,,INDEX(회계코드!$A$52:$O$52,,MATCH(E10,회계코드!$A$30:$O$30,0)),1)),"")</f>
        <v/>
      </c>
      <c r="K10" s="104"/>
    </row>
    <row r="11" spans="1:11" s="46" customFormat="1" ht="18" customHeight="1">
      <c r="A11" s="158" t="str">
        <f t="shared" si="0"/>
        <v/>
      </c>
      <c r="B11" s="165" t="str">
        <f t="shared" si="1"/>
        <v>선교헌금</v>
      </c>
      <c r="C11" s="111">
        <f>IF(B11="","",SUMIFS(수입,항목,B11,회계장부!A:A,"&gt;="&amp;기준일자_시작일,회계장부!A:A,"&lt;="&amp;기준일자_종료일))</f>
        <v>0</v>
      </c>
      <c r="D11" s="161" t="str">
        <f ca="1">IF(LEN(A11)&gt;0,SUM(OFFSET(C11,,,INDEX(회계코드!$A$27:$O$27,,MATCH(A11,회계코드!$A$5:$O$5,0)),1)),"")</f>
        <v/>
      </c>
      <c r="E11" s="109" t="str">
        <f t="shared" si="2"/>
        <v>시상/선물</v>
      </c>
      <c r="F11" s="110" t="str">
        <f t="shared" si="3"/>
        <v>새가족선물</v>
      </c>
      <c r="G11" s="111">
        <f>IF(F11="","",SUMIFS(지출,항목,F11,회계장부!A:A,"&gt;="&amp;기준일자_시작일,회계장부!A:A,"&lt;="&amp;기준일자_종료일))</f>
        <v>0</v>
      </c>
      <c r="H11" s="112">
        <f ca="1">IF(LEN(E11)&gt;0,SUM(OFFSET(G11,,,INDEX(회계코드!$A$52:$O$52,,MATCH(E11,회계코드!$A$30:$O$30,0)),1)),"")</f>
        <v>0</v>
      </c>
      <c r="K11" s="104"/>
    </row>
    <row r="12" spans="1:11" s="46" customFormat="1" ht="18" customHeight="1">
      <c r="A12" s="158" t="str">
        <f t="shared" si="0"/>
        <v/>
      </c>
      <c r="B12" s="165" t="str">
        <f t="shared" si="1"/>
        <v>해외선교헌금</v>
      </c>
      <c r="C12" s="111">
        <f>IF(B12="","",SUMIFS(수입,항목,B12,회계장부!A:A,"&gt;="&amp;기준일자_시작일,회계장부!A:A,"&lt;="&amp;기준일자_종료일))</f>
        <v>0</v>
      </c>
      <c r="D12" s="161" t="str">
        <f ca="1">IF(LEN(A12)&gt;0,SUM(OFFSET(C12,,,INDEX(회계코드!$A$27:$O$27,,MATCH(A12,회계코드!$A$5:$O$5,0)),1)),"")</f>
        <v/>
      </c>
      <c r="E12" s="109" t="str">
        <f t="shared" si="2"/>
        <v/>
      </c>
      <c r="F12" s="110" t="str">
        <f t="shared" si="3"/>
        <v>생일자선물</v>
      </c>
      <c r="G12" s="111">
        <f>IF(F12="","",SUMIFS(지출,항목,F12,회계장부!A:A,"&gt;="&amp;기준일자_시작일,회계장부!A:A,"&lt;="&amp;기준일자_종료일))</f>
        <v>0</v>
      </c>
      <c r="H12" s="112" t="str">
        <f ca="1">IF(LEN(E12)&gt;0,SUM(OFFSET(G12,,,INDEX(회계코드!$A$52:$O$52,,MATCH(E12,회계코드!$A$30:$O$30,0)),1)),"")</f>
        <v/>
      </c>
      <c r="K12" s="104"/>
    </row>
    <row r="13" spans="1:11" s="46" customFormat="1" ht="18" customHeight="1">
      <c r="A13" s="158" t="str">
        <f t="shared" si="0"/>
        <v/>
      </c>
      <c r="B13" s="165" t="str">
        <f t="shared" si="1"/>
        <v>기관선교헌금</v>
      </c>
      <c r="C13" s="111">
        <f>IF(B13="","",SUMIFS(수입,항목,B13,회계장부!A:A,"&gt;="&amp;기준일자_시작일,회계장부!A:A,"&lt;="&amp;기준일자_종료일))</f>
        <v>0</v>
      </c>
      <c r="D13" s="161" t="str">
        <f ca="1">IF(LEN(A13)&gt;0,SUM(OFFSET(C13,,,INDEX(회계코드!$A$27:$O$27,,MATCH(A13,회계코드!$A$5:$O$5,0)),1)),"")</f>
        <v/>
      </c>
      <c r="E13" s="109" t="str">
        <f t="shared" si="2"/>
        <v/>
      </c>
      <c r="F13" s="110" t="str">
        <f t="shared" si="3"/>
        <v>교역자선물</v>
      </c>
      <c r="G13" s="111">
        <f>IF(F13="","",SUMIFS(지출,항목,F13,회계장부!A:A,"&gt;="&amp;기준일자_시작일,회계장부!A:A,"&lt;="&amp;기준일자_종료일))</f>
        <v>0</v>
      </c>
      <c r="H13" s="112" t="str">
        <f ca="1">IF(LEN(E13)&gt;0,SUM(OFFSET(G13,,,INDEX(회계코드!$A$52:$O$52,,MATCH(E13,회계코드!$A$30:$O$30,0)),1)),"")</f>
        <v/>
      </c>
      <c r="K13" s="104"/>
    </row>
    <row r="14" spans="1:11" s="46" customFormat="1" ht="18" customHeight="1">
      <c r="A14" s="158" t="str">
        <f t="shared" si="0"/>
        <v/>
      </c>
      <c r="B14" s="165" t="str">
        <f t="shared" si="1"/>
        <v>특별헌금</v>
      </c>
      <c r="C14" s="111">
        <f>IF(B14="","",SUMIFS(수입,항목,B14,회계장부!A:A,"&gt;="&amp;기준일자_시작일,회계장부!A:A,"&lt;="&amp;기준일자_종료일))</f>
        <v>0</v>
      </c>
      <c r="D14" s="161" t="str">
        <f ca="1">IF(LEN(A14)&gt;0,SUM(OFFSET(C14,,,INDEX(회계코드!$A$27:$O$27,,MATCH(A14,회계코드!$A$5:$O$5,0)),1)),"")</f>
        <v/>
      </c>
      <c r="E14" s="109" t="str">
        <f t="shared" si="2"/>
        <v/>
      </c>
      <c r="F14" s="110" t="str">
        <f t="shared" si="3"/>
        <v>기타시상</v>
      </c>
      <c r="G14" s="111">
        <f>IF(F14="","",SUMIFS(지출,항목,F14,회계장부!A:A,"&gt;="&amp;기준일자_시작일,회계장부!A:A,"&lt;="&amp;기준일자_종료일))</f>
        <v>0</v>
      </c>
      <c r="H14" s="112" t="str">
        <f ca="1">IF(LEN(E14)&gt;0,SUM(OFFSET(G14,,,INDEX(회계코드!$A$52:$O$52,,MATCH(E14,회계코드!$A$30:$O$30,0)),1)),"")</f>
        <v/>
      </c>
      <c r="K14" s="104"/>
    </row>
    <row r="15" spans="1:11" s="46" customFormat="1" ht="18" customHeight="1">
      <c r="A15" s="158" t="str">
        <f t="shared" si="0"/>
        <v/>
      </c>
      <c r="B15" s="165" t="str">
        <f t="shared" si="1"/>
        <v>건축헌금</v>
      </c>
      <c r="C15" s="111">
        <f>IF(B15="","",SUMIFS(수입,항목,B15,회계장부!A:A,"&gt;="&amp;기준일자_시작일,회계장부!A:A,"&lt;="&amp;기준일자_종료일))</f>
        <v>0</v>
      </c>
      <c r="D15" s="161" t="str">
        <f ca="1">IF(LEN(A15)&gt;0,SUM(OFFSET(C15,,,INDEX(회계코드!$A$27:$O$27,,MATCH(A15,회계코드!$A$5:$O$5,0)),1)),"")</f>
        <v/>
      </c>
      <c r="E15" s="109" t="str">
        <f t="shared" si="2"/>
        <v>심방비</v>
      </c>
      <c r="F15" s="110" t="str">
        <f t="shared" si="3"/>
        <v>병문안</v>
      </c>
      <c r="G15" s="111">
        <f>IF(F15="","",SUMIFS(지출,항목,F15,회계장부!A:A,"&gt;="&amp;기준일자_시작일,회계장부!A:A,"&lt;="&amp;기준일자_종료일))</f>
        <v>0</v>
      </c>
      <c r="H15" s="112">
        <f ca="1">IF(LEN(E15)&gt;0,SUM(OFFSET(G15,,,INDEX(회계코드!$A$52:$O$52,,MATCH(E15,회계코드!$A$30:$O$30,0)),1)),"")</f>
        <v>0</v>
      </c>
      <c r="K15" s="104"/>
    </row>
    <row r="16" spans="1:11" s="46" customFormat="1" ht="18" customHeight="1">
      <c r="A16" s="158" t="str">
        <f t="shared" si="0"/>
        <v/>
      </c>
      <c r="B16" s="165" t="str">
        <f t="shared" si="1"/>
        <v>장학헌금</v>
      </c>
      <c r="C16" s="111">
        <f>IF(B16="","",SUMIFS(수입,항목,B16,회계장부!A:A,"&gt;="&amp;기준일자_시작일,회계장부!A:A,"&lt;="&amp;기준일자_종료일))</f>
        <v>0</v>
      </c>
      <c r="D16" s="161" t="str">
        <f ca="1">IF(LEN(A16)&gt;0,SUM(OFFSET(C16,,,INDEX(회계코드!$A$27:$O$27,,MATCH(A16,회계코드!$A$5:$O$5,0)),1)),"")</f>
        <v/>
      </c>
      <c r="E16" s="109" t="str">
        <f t="shared" si="2"/>
        <v/>
      </c>
      <c r="F16" s="110" t="str">
        <f t="shared" si="3"/>
        <v>경조사비</v>
      </c>
      <c r="G16" s="111">
        <f>IF(F16="","",SUMIFS(지출,항목,F16,회계장부!A:A,"&gt;="&amp;기준일자_시작일,회계장부!A:A,"&lt;="&amp;기준일자_종료일))</f>
        <v>0</v>
      </c>
      <c r="H16" s="112" t="str">
        <f ca="1">IF(LEN(E16)&gt;0,SUM(OFFSET(G16,,,INDEX(회계코드!$A$52:$O$52,,MATCH(E16,회계코드!$A$30:$O$30,0)),1)),"")</f>
        <v/>
      </c>
    </row>
    <row r="17" spans="1:11" s="46" customFormat="1" ht="18" customHeight="1">
      <c r="A17" s="158" t="str">
        <f t="shared" si="0"/>
        <v/>
      </c>
      <c r="B17" s="165" t="str">
        <f t="shared" si="1"/>
        <v>구역헌금</v>
      </c>
      <c r="C17" s="111">
        <f>IF(B17="","",SUMIFS(수입,항목,B17,회계장부!A:A,"&gt;="&amp;기준일자_시작일,회계장부!A:A,"&lt;="&amp;기준일자_종료일))</f>
        <v>0</v>
      </c>
      <c r="D17" s="161" t="str">
        <f ca="1">IF(LEN(A17)&gt;0,SUM(OFFSET(C17,,,INDEX(회계코드!$A$27:$O$27,,MATCH(A17,회계코드!$A$5:$O$5,0)),1)),"")</f>
        <v/>
      </c>
      <c r="E17" s="109" t="str">
        <f t="shared" si="2"/>
        <v>특강/도서구입비</v>
      </c>
      <c r="F17" s="110" t="str">
        <f t="shared" si="3"/>
        <v>특강비</v>
      </c>
      <c r="G17" s="111">
        <f>IF(F17="","",SUMIFS(지출,항목,F17,회계장부!A:A,"&gt;="&amp;기준일자_시작일,회계장부!A:A,"&lt;="&amp;기준일자_종료일))</f>
        <v>0</v>
      </c>
      <c r="H17" s="112">
        <f ca="1">IF(LEN(E17)&gt;0,SUM(OFFSET(G17,,,INDEX(회계코드!$A$52:$O$52,,MATCH(E17,회계코드!$A$30:$O$30,0)),1)),"")</f>
        <v>0</v>
      </c>
    </row>
    <row r="18" spans="1:11" s="46" customFormat="1" ht="18" customHeight="1">
      <c r="A18" s="158" t="str">
        <f t="shared" si="0"/>
        <v/>
      </c>
      <c r="B18" s="165" t="str">
        <f t="shared" si="1"/>
        <v>절기헌금</v>
      </c>
      <c r="C18" s="111">
        <f>IF(B18="","",SUMIFS(수입,항목,B18,회계장부!A:A,"&gt;="&amp;기준일자_시작일,회계장부!A:A,"&lt;="&amp;기준일자_종료일))</f>
        <v>0</v>
      </c>
      <c r="D18" s="161" t="str">
        <f ca="1">IF(LEN(A18)&gt;0,SUM(OFFSET(C18,,,INDEX(회계코드!$A$27:$O$27,,MATCH(A18,회계코드!$A$5:$O$5,0)),1)),"")</f>
        <v/>
      </c>
      <c r="E18" s="109" t="str">
        <f t="shared" si="2"/>
        <v/>
      </c>
      <c r="F18" s="110" t="str">
        <f t="shared" si="3"/>
        <v>도서구입비</v>
      </c>
      <c r="G18" s="111">
        <f>IF(F18="","",SUMIFS(지출,항목,F18,회계장부!A:A,"&gt;="&amp;기준일자_시작일,회계장부!A:A,"&lt;="&amp;기준일자_종료일))</f>
        <v>0</v>
      </c>
      <c r="H18" s="112" t="str">
        <f ca="1">IF(LEN(E18)&gt;0,SUM(OFFSET(G18,,,INDEX(회계코드!$A$52:$O$52,,MATCH(E18,회계코드!$A$30:$O$30,0)),1)),"")</f>
        <v/>
      </c>
      <c r="K18" s="104"/>
    </row>
    <row r="19" spans="1:11" s="46" customFormat="1" ht="18" customHeight="1">
      <c r="A19" s="158" t="str">
        <f t="shared" si="0"/>
        <v/>
      </c>
      <c r="B19" s="165" t="str">
        <f t="shared" si="1"/>
        <v>전도회비</v>
      </c>
      <c r="C19" s="111">
        <f>IF(B19="","",SUMIFS(수입,항목,B19,회계장부!A:A,"&gt;="&amp;기준일자_시작일,회계장부!A:A,"&lt;="&amp;기준일자_종료일))</f>
        <v>0</v>
      </c>
      <c r="D19" s="161" t="str">
        <f ca="1">IF(LEN(A19)&gt;0,SUM(OFFSET(C19,,,INDEX(회계코드!$A$27:$O$27,,MATCH(A19,회계코드!$A$5:$O$5,0)),1)),"")</f>
        <v/>
      </c>
      <c r="E19" s="109" t="str">
        <f t="shared" si="2"/>
        <v>요람/현수막제작비</v>
      </c>
      <c r="F19" s="110" t="str">
        <f t="shared" si="3"/>
        <v>요람제작비</v>
      </c>
      <c r="G19" s="111">
        <f>IF(F19="","",SUMIFS(지출,항목,F19,회계장부!A:A,"&gt;="&amp;기준일자_시작일,회계장부!A:A,"&lt;="&amp;기준일자_종료일))</f>
        <v>0</v>
      </c>
      <c r="H19" s="112">
        <f ca="1">IF(LEN(E19)&gt;0,SUM(OFFSET(G19,,,INDEX(회계코드!$A$52:$O$52,,MATCH(E19,회계코드!$A$30:$O$30,0)),1)),"")</f>
        <v>0</v>
      </c>
      <c r="K19" s="104"/>
    </row>
    <row r="20" spans="1:11" s="46" customFormat="1" ht="18" customHeight="1">
      <c r="A20" s="158" t="str">
        <f t="shared" si="0"/>
        <v/>
      </c>
      <c r="B20" s="165" t="str">
        <f t="shared" si="1"/>
        <v>찬양대회비</v>
      </c>
      <c r="C20" s="111">
        <f>IF(B20="","",SUMIFS(수입,항목,B20,회계장부!A:A,"&gt;="&amp;기준일자_시작일,회계장부!A:A,"&lt;="&amp;기준일자_종료일))</f>
        <v>0</v>
      </c>
      <c r="D20" s="161" t="str">
        <f ca="1">IF(LEN(A20)&gt;0,SUM(OFFSET(C20,,,INDEX(회계코드!$A$27:$O$27,,MATCH(A20,회계코드!$A$5:$O$5,0)),1)),"")</f>
        <v/>
      </c>
      <c r="E20" s="109" t="str">
        <f t="shared" si="2"/>
        <v/>
      </c>
      <c r="F20" s="110" t="str">
        <f t="shared" si="3"/>
        <v>현수막제작비</v>
      </c>
      <c r="G20" s="111">
        <f>IF(F20="","",SUMIFS(지출,항목,F20,회계장부!A:A,"&gt;="&amp;기준일자_시작일,회계장부!A:A,"&lt;="&amp;기준일자_종료일))</f>
        <v>0</v>
      </c>
      <c r="H20" s="112" t="str">
        <f ca="1">IF(LEN(E20)&gt;0,SUM(OFFSET(G20,,,INDEX(회계코드!$A$52:$O$52,,MATCH(E20,회계코드!$A$30:$O$30,0)),1)),"")</f>
        <v/>
      </c>
      <c r="K20" s="104"/>
    </row>
    <row r="21" spans="1:11" s="46" customFormat="1" ht="18" customHeight="1">
      <c r="A21" s="158" t="str">
        <f t="shared" si="0"/>
        <v>기타수입</v>
      </c>
      <c r="B21" s="165" t="str">
        <f t="shared" si="1"/>
        <v>예금이자</v>
      </c>
      <c r="C21" s="111">
        <f>IF(B21="","",SUMIFS(수입,항목,B21,회계장부!A:A,"&gt;="&amp;기준일자_시작일,회계장부!A:A,"&lt;="&amp;기준일자_종료일))</f>
        <v>0</v>
      </c>
      <c r="D21" s="161">
        <f ca="1">IF(LEN(A21)&gt;0,SUM(OFFSET(C21,,,INDEX(회계코드!$A$27:$O$27,,MATCH(A21,회계코드!$A$5:$O$5,0)),1)),"")</f>
        <v>0</v>
      </c>
      <c r="E21" s="109" t="str">
        <f t="shared" si="2"/>
        <v>수련회</v>
      </c>
      <c r="F21" s="110" t="str">
        <f t="shared" si="3"/>
        <v>여름수련회</v>
      </c>
      <c r="G21" s="111">
        <f>IF(F21="","",SUMIFS(지출,항목,F21,회계장부!A:A,"&gt;="&amp;기준일자_시작일,회계장부!A:A,"&lt;="&amp;기준일자_종료일))</f>
        <v>0</v>
      </c>
      <c r="H21" s="112">
        <f ca="1">IF(LEN(E21)&gt;0,SUM(OFFSET(G21,,,INDEX(회계코드!$A$52:$O$52,,MATCH(E21,회계코드!$A$30:$O$30,0)),1)),"")</f>
        <v>0</v>
      </c>
      <c r="K21" s="104"/>
    </row>
    <row r="22" spans="1:11" s="46" customFormat="1" ht="18" customHeight="1">
      <c r="A22" s="158" t="str">
        <f t="shared" si="0"/>
        <v/>
      </c>
      <c r="B22" s="165" t="str">
        <f t="shared" si="1"/>
        <v>찬조</v>
      </c>
      <c r="C22" s="111">
        <f>IF(B22="","",SUMIFS(수입,항목,B22,회계장부!A:A,"&gt;="&amp;기준일자_시작일,회계장부!A:A,"&lt;="&amp;기준일자_종료일))</f>
        <v>0</v>
      </c>
      <c r="D22" s="161" t="str">
        <f ca="1">IF(LEN(A22)&gt;0,SUM(OFFSET(C22,,,INDEX(회계코드!$A$27:$O$27,,MATCH(A22,회계코드!$A$5:$O$5,0)),1)),"")</f>
        <v/>
      </c>
      <c r="E22" s="109" t="str">
        <f t="shared" si="2"/>
        <v/>
      </c>
      <c r="F22" s="110" t="str">
        <f t="shared" si="3"/>
        <v>겨울수련회</v>
      </c>
      <c r="G22" s="111">
        <f>IF(F22="","",SUMIFS(지출,항목,F22,회계장부!A:A,"&gt;="&amp;기준일자_시작일,회계장부!A:A,"&lt;="&amp;기준일자_종료일))</f>
        <v>0</v>
      </c>
      <c r="H22" s="112" t="str">
        <f ca="1">IF(LEN(E22)&gt;0,SUM(OFFSET(G22,,,INDEX(회계코드!$A$52:$O$52,,MATCH(E22,회계코드!$A$30:$O$30,0)),1)),"")</f>
        <v/>
      </c>
      <c r="K22" s="104"/>
    </row>
    <row r="23" spans="1:11" s="46" customFormat="1" ht="18" customHeight="1">
      <c r="A23" s="158" t="str">
        <f t="shared" si="0"/>
        <v/>
      </c>
      <c r="B23" s="165" t="str">
        <f t="shared" si="1"/>
        <v>잡수입</v>
      </c>
      <c r="C23" s="111">
        <f>IF(B23="","",SUMIFS(수입,항목,B23,회계장부!A:A,"&gt;="&amp;기준일자_시작일,회계장부!A:A,"&lt;="&amp;기준일자_종료일))</f>
        <v>0</v>
      </c>
      <c r="D23" s="161" t="str">
        <f ca="1">IF(LEN(A23)&gt;0,SUM(OFFSET(C23,,,INDEX(회계코드!$A$27:$O$27,,MATCH(A23,회계코드!$A$5:$O$5,0)),1)),"")</f>
        <v/>
      </c>
      <c r="E23" s="109" t="str">
        <f t="shared" si="2"/>
        <v>기타지출</v>
      </c>
      <c r="F23" s="110" t="str">
        <f t="shared" si="3"/>
        <v>잡화구입비</v>
      </c>
      <c r="G23" s="111">
        <f>IF(F23="","",SUMIFS(지출,항목,F23,회계장부!A:A,"&gt;="&amp;기준일자_시작일,회계장부!A:A,"&lt;="&amp;기준일자_종료일))</f>
        <v>0</v>
      </c>
      <c r="H23" s="112">
        <f ca="1">IF(LEN(E23)&gt;0,SUM(OFFSET(G23,,,INDEX(회계코드!$A$52:$O$52,,MATCH(E23,회계코드!$A$30:$O$30,0)),1)),"")</f>
        <v>0</v>
      </c>
      <c r="K23" s="104"/>
    </row>
    <row r="24" spans="1:11" s="46" customFormat="1" ht="18" customHeight="1">
      <c r="A24" s="158" t="str">
        <f t="shared" si="0"/>
        <v/>
      </c>
      <c r="B24" s="165" t="str">
        <f t="shared" si="1"/>
        <v/>
      </c>
      <c r="C24" s="111" t="str">
        <f>IF(B24="","",SUMIFS(수입,항목,B24,회계장부!A:A,"&gt;="&amp;기준일자_시작일,회계장부!A:A,"&lt;="&amp;기준일자_종료일))</f>
        <v/>
      </c>
      <c r="D24" s="161" t="str">
        <f ca="1">IF(LEN(A24)&gt;0,SUM(OFFSET(C24,,,INDEX(회계코드!$A$27:$O$27,,MATCH(A24,회계코드!$A$5:$O$5,0)),1)),"")</f>
        <v/>
      </c>
      <c r="E24" s="109" t="str">
        <f t="shared" si="2"/>
        <v/>
      </c>
      <c r="F24" s="110" t="str">
        <f t="shared" si="3"/>
        <v>비품구입비</v>
      </c>
      <c r="G24" s="111">
        <f>IF(F24="","",SUMIFS(지출,항목,F24,회계장부!A:A,"&gt;="&amp;기준일자_시작일,회계장부!A:A,"&lt;="&amp;기준일자_종료일))</f>
        <v>0</v>
      </c>
      <c r="H24" s="112" t="str">
        <f ca="1">IF(LEN(E24)&gt;0,SUM(OFFSET(G24,,,INDEX(회계코드!$A$52:$O$52,,MATCH(E24,회계코드!$A$30:$O$30,0)),1)),"")</f>
        <v/>
      </c>
      <c r="K24" s="104"/>
    </row>
    <row r="25" spans="1:11" s="46" customFormat="1" ht="18" customHeight="1">
      <c r="A25" s="158" t="str">
        <f t="shared" si="0"/>
        <v/>
      </c>
      <c r="B25" s="165" t="str">
        <f t="shared" si="1"/>
        <v/>
      </c>
      <c r="C25" s="111" t="str">
        <f>IF(B25="","",SUMIFS(수입,항목,B25,회계장부!A:A,"&gt;="&amp;기준일자_시작일,회계장부!A:A,"&lt;="&amp;기준일자_종료일))</f>
        <v/>
      </c>
      <c r="D25" s="161" t="str">
        <f ca="1">IF(LEN(A25)&gt;0,SUM(OFFSET(C25,,,INDEX(회계코드!$A$27:$O$27,,MATCH(A25,회계코드!$A$5:$O$5,0)),1)),"")</f>
        <v/>
      </c>
      <c r="E25" s="109" t="str">
        <f t="shared" si="2"/>
        <v/>
      </c>
      <c r="F25" s="110" t="str">
        <f t="shared" si="3"/>
        <v>기타지출</v>
      </c>
      <c r="G25" s="111">
        <f>IF(F25="","",SUMIFS(지출,항목,F25,회계장부!A:A,"&gt;="&amp;기준일자_시작일,회계장부!A:A,"&lt;="&amp;기준일자_종료일))</f>
        <v>0</v>
      </c>
      <c r="H25" s="112" t="str">
        <f ca="1">IF(LEN(E25)&gt;0,SUM(OFFSET(G25,,,INDEX(회계코드!$A$52:$O$52,,MATCH(E25,회계코드!$A$30:$O$30,0)),1)),"")</f>
        <v/>
      </c>
      <c r="K25" s="104"/>
    </row>
    <row r="26" spans="1:11" s="46" customFormat="1" ht="18" customHeight="1">
      <c r="A26" s="158" t="str">
        <f t="shared" si="0"/>
        <v/>
      </c>
      <c r="B26" s="165" t="str">
        <f t="shared" si="1"/>
        <v/>
      </c>
      <c r="C26" s="111" t="str">
        <f>IF(B26="","",SUMIFS(수입,항목,B26,회계장부!A:A,"&gt;="&amp;기준일자_시작일,회계장부!A:A,"&lt;="&amp;기준일자_종료일))</f>
        <v/>
      </c>
      <c r="D26" s="161" t="str">
        <f ca="1">IF(LEN(A26)&gt;0,SUM(OFFSET(C26,,,INDEX(회계코드!$A$27:$O$27,,MATCH(A26,회계코드!$A$5:$O$5,0)),1)),"")</f>
        <v/>
      </c>
      <c r="E26" s="109" t="str">
        <f t="shared" si="2"/>
        <v/>
      </c>
      <c r="F26" s="110" t="str">
        <f t="shared" si="3"/>
        <v/>
      </c>
      <c r="G26" s="111" t="str">
        <f>IF(F26="","",SUMIFS(지출,항목,F26,회계장부!A:A,"&gt;="&amp;기준일자_시작일,회계장부!A:A,"&lt;="&amp;기준일자_종료일))</f>
        <v/>
      </c>
      <c r="H26" s="112" t="str">
        <f ca="1">IF(LEN(E26)&gt;0,SUM(OFFSET(G26,,,INDEX(회계코드!$A$52:$O$52,,MATCH(E26,회계코드!$A$30:$O$30,0)),1)),"")</f>
        <v/>
      </c>
      <c r="K26" s="104"/>
    </row>
    <row r="27" spans="1:11" s="46" customFormat="1" ht="18" customHeight="1">
      <c r="A27" s="158" t="str">
        <f t="shared" si="0"/>
        <v/>
      </c>
      <c r="B27" s="165" t="str">
        <f t="shared" si="1"/>
        <v/>
      </c>
      <c r="C27" s="111" t="str">
        <f>IF(B27="","",SUMIFS(수입,항목,B27,회계장부!A:A,"&gt;="&amp;기준일자_시작일,회계장부!A:A,"&lt;="&amp;기준일자_종료일))</f>
        <v/>
      </c>
      <c r="D27" s="161" t="str">
        <f ca="1">IF(LEN(A27)&gt;0,SUM(OFFSET(C27,,,INDEX(회계코드!$A$27:$O$27,,MATCH(A27,회계코드!$A$5:$O$5,0)),1)),"")</f>
        <v/>
      </c>
      <c r="E27" s="109" t="str">
        <f t="shared" si="2"/>
        <v/>
      </c>
      <c r="F27" s="110" t="str">
        <f t="shared" si="3"/>
        <v/>
      </c>
      <c r="G27" s="111" t="str">
        <f>IF(F27="","",SUMIFS(지출,항목,F27,회계장부!A:A,"&gt;="&amp;기준일자_시작일,회계장부!A:A,"&lt;="&amp;기준일자_종료일))</f>
        <v/>
      </c>
      <c r="H27" s="112" t="str">
        <f ca="1">IF(LEN(E27)&gt;0,SUM(OFFSET(G27,,,INDEX(회계코드!$A$52:$O$52,,MATCH(E27,회계코드!$A$30:$O$30,0)),1)),"")</f>
        <v/>
      </c>
      <c r="K27" s="104"/>
    </row>
    <row r="28" spans="1:11" s="46" customFormat="1" ht="18" customHeight="1">
      <c r="A28" s="158" t="str">
        <f t="shared" si="0"/>
        <v/>
      </c>
      <c r="B28" s="165" t="str">
        <f t="shared" si="1"/>
        <v/>
      </c>
      <c r="C28" s="111" t="str">
        <f>IF(B28="","",SUMIFS(수입,항목,B28,회계장부!A:A,"&gt;="&amp;기준일자_시작일,회계장부!A:A,"&lt;="&amp;기준일자_종료일))</f>
        <v/>
      </c>
      <c r="D28" s="161" t="str">
        <f ca="1">IF(LEN(A28)&gt;0,SUM(OFFSET(C28,,,INDEX(회계코드!$A$27:$O$27,,MATCH(A28,회계코드!$A$5:$O$5,0)),1)),"")</f>
        <v/>
      </c>
      <c r="E28" s="109" t="str">
        <f t="shared" si="2"/>
        <v/>
      </c>
      <c r="F28" s="110" t="str">
        <f t="shared" si="3"/>
        <v/>
      </c>
      <c r="G28" s="111" t="str">
        <f>IF(F28="","",SUMIFS(지출,항목,F28,회계장부!A:A,"&gt;="&amp;기준일자_시작일,회계장부!A:A,"&lt;="&amp;기준일자_종료일))</f>
        <v/>
      </c>
      <c r="H28" s="112" t="str">
        <f ca="1">IF(LEN(E28)&gt;0,SUM(OFFSET(G28,,,INDEX(회계코드!$A$52:$O$52,,MATCH(E28,회계코드!$A$30:$O$30,0)),1)),"")</f>
        <v/>
      </c>
      <c r="K28" s="104"/>
    </row>
    <row r="29" spans="1:11" s="46" customFormat="1" ht="18" customHeight="1">
      <c r="A29" s="158" t="str">
        <f t="shared" si="0"/>
        <v/>
      </c>
      <c r="B29" s="165" t="str">
        <f t="shared" si="1"/>
        <v/>
      </c>
      <c r="C29" s="111" t="str">
        <f>IF(B29="","",SUMIFS(수입,항목,B29,회계장부!A:A,"&gt;="&amp;기준일자_시작일,회계장부!A:A,"&lt;="&amp;기준일자_종료일))</f>
        <v/>
      </c>
      <c r="D29" s="161" t="str">
        <f ca="1">IF(LEN(A29)&gt;0,SUM(OFFSET(C29,,,INDEX(회계코드!$A$27:$O$27,,MATCH(A29,회계코드!$A$5:$O$5,0)),1)),"")</f>
        <v/>
      </c>
      <c r="E29" s="109" t="str">
        <f t="shared" si="2"/>
        <v/>
      </c>
      <c r="F29" s="110" t="str">
        <f t="shared" si="3"/>
        <v/>
      </c>
      <c r="G29" s="111" t="str">
        <f>IF(F29="","",SUMIFS(지출,항목,F29,회계장부!A:A,"&gt;="&amp;기준일자_시작일,회계장부!A:A,"&lt;="&amp;기준일자_종료일))</f>
        <v/>
      </c>
      <c r="H29" s="112" t="str">
        <f ca="1">IF(LEN(E29)&gt;0,SUM(OFFSET(G29,,,INDEX(회계코드!$A$52:$O$52,,MATCH(E29,회계코드!$A$30:$O$30,0)),1)),"")</f>
        <v/>
      </c>
      <c r="K29" s="104"/>
    </row>
    <row r="30" spans="1:11" s="46" customFormat="1" ht="18" customHeight="1">
      <c r="A30" s="158" t="str">
        <f t="shared" si="0"/>
        <v/>
      </c>
      <c r="B30" s="165" t="str">
        <f t="shared" si="1"/>
        <v/>
      </c>
      <c r="C30" s="111" t="str">
        <f>IF(B30="","",SUMIFS(수입,항목,B30,회계장부!A:A,"&gt;="&amp;기준일자_시작일,회계장부!A:A,"&lt;="&amp;기준일자_종료일))</f>
        <v/>
      </c>
      <c r="D30" s="161" t="str">
        <f ca="1">IF(LEN(A30)&gt;0,SUM(OFFSET(C30,,,INDEX(회계코드!$A$27:$O$27,,MATCH(A30,회계코드!$A$5:$O$5,0)),1)),"")</f>
        <v/>
      </c>
      <c r="E30" s="109" t="str">
        <f t="shared" si="2"/>
        <v/>
      </c>
      <c r="F30" s="110" t="str">
        <f t="shared" si="3"/>
        <v/>
      </c>
      <c r="G30" s="111" t="str">
        <f>IF(F30="","",SUMIFS(지출,항목,F30,회계장부!A:A,"&gt;="&amp;기준일자_시작일,회계장부!A:A,"&lt;="&amp;기준일자_종료일))</f>
        <v/>
      </c>
      <c r="H30" s="112" t="str">
        <f ca="1">IF(LEN(E30)&gt;0,SUM(OFFSET(G30,,,INDEX(회계코드!$A$52:$O$52,,MATCH(E30,회계코드!$A$30:$O$30,0)),1)),"")</f>
        <v/>
      </c>
      <c r="K30" s="104"/>
    </row>
    <row r="31" spans="1:11" s="46" customFormat="1" ht="18" customHeight="1">
      <c r="A31" s="158" t="str">
        <f t="shared" si="0"/>
        <v/>
      </c>
      <c r="B31" s="165" t="str">
        <f t="shared" si="1"/>
        <v/>
      </c>
      <c r="C31" s="111" t="str">
        <f>IF(B31="","",SUMIFS(수입,항목,B31,회계장부!A:A,"&gt;="&amp;기준일자_시작일,회계장부!A:A,"&lt;="&amp;기준일자_종료일))</f>
        <v/>
      </c>
      <c r="D31" s="161" t="str">
        <f ca="1">IF(LEN(A31)&gt;0,SUM(OFFSET(C31,,,INDEX(회계코드!$A$27:$O$27,,MATCH(A31,회계코드!$A$5:$O$5,0)),1)),"")</f>
        <v/>
      </c>
      <c r="E31" s="109" t="str">
        <f t="shared" si="2"/>
        <v/>
      </c>
      <c r="F31" s="110" t="str">
        <f t="shared" si="3"/>
        <v/>
      </c>
      <c r="G31" s="111" t="str">
        <f>IF(F31="","",SUMIFS(지출,항목,F31,회계장부!A:A,"&gt;="&amp;기준일자_시작일,회계장부!A:A,"&lt;="&amp;기준일자_종료일))</f>
        <v/>
      </c>
      <c r="H31" s="112" t="str">
        <f ca="1">IF(LEN(E31)&gt;0,SUM(OFFSET(G31,,,INDEX(회계코드!$A$52:$O$52,,MATCH(E31,회계코드!$A$30:$O$30,0)),1)),"")</f>
        <v/>
      </c>
      <c r="K31" s="104"/>
    </row>
    <row r="32" spans="1:11" s="46" customFormat="1" ht="18" customHeight="1">
      <c r="A32" s="158" t="str">
        <f t="shared" si="0"/>
        <v/>
      </c>
      <c r="B32" s="165" t="str">
        <f t="shared" si="1"/>
        <v/>
      </c>
      <c r="C32" s="111" t="str">
        <f>IF(B32="","",SUMIFS(수입,항목,B32,회계장부!A:A,"&gt;="&amp;기준일자_시작일,회계장부!A:A,"&lt;="&amp;기준일자_종료일))</f>
        <v/>
      </c>
      <c r="D32" s="161" t="str">
        <f ca="1">IF(LEN(A32)&gt;0,SUM(OFFSET(C32,,,INDEX(회계코드!$A$27:$O$27,,MATCH(A32,회계코드!$A$5:$O$5,0)),1)),"")</f>
        <v/>
      </c>
      <c r="E32" s="109" t="str">
        <f t="shared" si="2"/>
        <v/>
      </c>
      <c r="F32" s="110" t="str">
        <f t="shared" si="3"/>
        <v/>
      </c>
      <c r="G32" s="111" t="str">
        <f>IF(F32="","",SUMIFS(지출,항목,F32,회계장부!A:A,"&gt;="&amp;기준일자_시작일,회계장부!A:A,"&lt;="&amp;기준일자_종료일))</f>
        <v/>
      </c>
      <c r="H32" s="112" t="str">
        <f ca="1">IF(LEN(E32)&gt;0,SUM(OFFSET(G32,,,INDEX(회계코드!$A$52:$O$52,,MATCH(E32,회계코드!$A$30:$O$30,0)),1)),"")</f>
        <v/>
      </c>
      <c r="K32" s="104"/>
    </row>
    <row r="33" spans="1:11" s="46" customFormat="1" ht="18" customHeight="1">
      <c r="A33" s="158" t="str">
        <f t="shared" si="0"/>
        <v/>
      </c>
      <c r="B33" s="165" t="str">
        <f t="shared" si="1"/>
        <v/>
      </c>
      <c r="C33" s="111" t="str">
        <f>IF(B33="","",SUMIFS(수입,항목,B33,회계장부!A:A,"&gt;="&amp;기준일자_시작일,회계장부!A:A,"&lt;="&amp;기준일자_종료일))</f>
        <v/>
      </c>
      <c r="D33" s="161" t="str">
        <f ca="1">IF(LEN(A33)&gt;0,SUM(OFFSET(C33,,,INDEX(회계코드!$A$27:$O$27,,MATCH(A33,회계코드!$A$5:$O$5,0)),1)),"")</f>
        <v/>
      </c>
      <c r="E33" s="109" t="str">
        <f t="shared" si="2"/>
        <v/>
      </c>
      <c r="F33" s="110" t="str">
        <f t="shared" si="3"/>
        <v/>
      </c>
      <c r="G33" s="111" t="str">
        <f>IF(F33="","",SUMIFS(지출,항목,F33,회계장부!A:A,"&gt;="&amp;기준일자_시작일,회계장부!A:A,"&lt;="&amp;기준일자_종료일))</f>
        <v/>
      </c>
      <c r="H33" s="112" t="str">
        <f ca="1">IF(LEN(E33)&gt;0,SUM(OFFSET(G33,,,INDEX(회계코드!$A$52:$O$52,,MATCH(E33,회계코드!$A$30:$O$30,0)),1)),"")</f>
        <v/>
      </c>
      <c r="K33" s="104"/>
    </row>
    <row r="34" spans="1:11" s="46" customFormat="1" ht="18" customHeight="1">
      <c r="A34" s="158" t="str">
        <f t="shared" si="0"/>
        <v/>
      </c>
      <c r="B34" s="165" t="str">
        <f t="shared" si="1"/>
        <v/>
      </c>
      <c r="C34" s="111" t="str">
        <f>IF(B34="","",SUMIFS(수입,항목,B34,회계장부!A:A,"&gt;="&amp;기준일자_시작일,회계장부!A:A,"&lt;="&amp;기준일자_종료일))</f>
        <v/>
      </c>
      <c r="D34" s="161" t="str">
        <f ca="1">IF(LEN(A34)&gt;0,SUM(OFFSET(C34,,,INDEX(회계코드!$A$27:$O$27,,MATCH(A34,회계코드!$A$5:$O$5,0)),1)),"")</f>
        <v/>
      </c>
      <c r="E34" s="109" t="str">
        <f t="shared" si="2"/>
        <v/>
      </c>
      <c r="F34" s="110" t="str">
        <f t="shared" si="3"/>
        <v/>
      </c>
      <c r="G34" s="111" t="str">
        <f>IF(F34="","",SUMIFS(지출,항목,F34,회계장부!A:A,"&gt;="&amp;기준일자_시작일,회계장부!A:A,"&lt;="&amp;기준일자_종료일))</f>
        <v/>
      </c>
      <c r="H34" s="112" t="str">
        <f ca="1">IF(LEN(E34)&gt;0,SUM(OFFSET(G34,,,INDEX(회계코드!$A$52:$O$52,,MATCH(E34,회계코드!$A$30:$O$30,0)),1)),"")</f>
        <v/>
      </c>
      <c r="K34" s="104"/>
    </row>
    <row r="35" spans="1:11" s="46" customFormat="1" ht="18" customHeight="1">
      <c r="A35" s="158" t="str">
        <f t="shared" si="0"/>
        <v/>
      </c>
      <c r="B35" s="165" t="str">
        <f t="shared" si="1"/>
        <v/>
      </c>
      <c r="C35" s="111" t="str">
        <f>IF(B35="","",SUMIFS(수입,항목,B35,회계장부!A:A,"&gt;="&amp;기준일자_시작일,회계장부!A:A,"&lt;="&amp;기준일자_종료일))</f>
        <v/>
      </c>
      <c r="D35" s="161" t="str">
        <f ca="1">IF(LEN(A35)&gt;0,SUM(OFFSET(C35,,,INDEX(회계코드!$A$27:$O$27,,MATCH(A35,회계코드!$A$5:$O$5,0)),1)),"")</f>
        <v/>
      </c>
      <c r="E35" s="109" t="str">
        <f t="shared" si="2"/>
        <v/>
      </c>
      <c r="F35" s="110" t="str">
        <f t="shared" si="3"/>
        <v/>
      </c>
      <c r="G35" s="111" t="str">
        <f>IF(F35="","",SUMIFS(지출,항목,F35,회계장부!A:A,"&gt;="&amp;기준일자_시작일,회계장부!A:A,"&lt;="&amp;기준일자_종료일))</f>
        <v/>
      </c>
      <c r="H35" s="112" t="str">
        <f ca="1">IF(LEN(E35)&gt;0,SUM(OFFSET(G35,,,INDEX(회계코드!$A$52:$O$52,,MATCH(E35,회계코드!$A$30:$O$30,0)),1)),"")</f>
        <v/>
      </c>
      <c r="K35" s="104"/>
    </row>
    <row r="36" spans="1:11" s="46" customFormat="1" ht="18" customHeight="1">
      <c r="A36" s="158" t="str">
        <f t="shared" si="0"/>
        <v/>
      </c>
      <c r="B36" s="165" t="str">
        <f t="shared" si="1"/>
        <v/>
      </c>
      <c r="C36" s="111" t="str">
        <f>IF(B36="","",SUMIFS(수입,항목,B36,회계장부!A:A,"&gt;="&amp;기준일자_시작일,회계장부!A:A,"&lt;="&amp;기준일자_종료일))</f>
        <v/>
      </c>
      <c r="D36" s="161" t="str">
        <f ca="1">IF(LEN(A36)&gt;0,SUM(OFFSET(C36,,,INDEX(회계코드!$A$27:$O$27,,MATCH(A36,회계코드!$A$5:$O$5,0)),1)),"")</f>
        <v/>
      </c>
      <c r="E36" s="109" t="str">
        <f t="shared" si="2"/>
        <v/>
      </c>
      <c r="F36" s="110" t="str">
        <f t="shared" si="3"/>
        <v/>
      </c>
      <c r="G36" s="111" t="str">
        <f>IF(F36="","",SUMIFS(지출,항목,F36,회계장부!A:A,"&gt;="&amp;기준일자_시작일,회계장부!A:A,"&lt;="&amp;기준일자_종료일))</f>
        <v/>
      </c>
      <c r="H36" s="112" t="str">
        <f ca="1">IF(LEN(E36)&gt;0,SUM(OFFSET(G36,,,INDEX(회계코드!$A$52:$O$52,,MATCH(E36,회계코드!$A$30:$O$30,0)),1)),"")</f>
        <v/>
      </c>
      <c r="K36" s="104"/>
    </row>
    <row r="37" spans="1:11" s="46" customFormat="1" ht="18" customHeight="1">
      <c r="A37" s="158" t="str">
        <f t="shared" si="0"/>
        <v/>
      </c>
      <c r="B37" s="165" t="str">
        <f t="shared" si="1"/>
        <v/>
      </c>
      <c r="C37" s="111" t="str">
        <f>IF(B37="","",SUMIFS(수입,항목,B37,회계장부!A:A,"&gt;="&amp;기준일자_시작일,회계장부!A:A,"&lt;="&amp;기준일자_종료일))</f>
        <v/>
      </c>
      <c r="D37" s="161" t="str">
        <f ca="1">IF(LEN(A37)&gt;0,SUM(OFFSET(C37,,,INDEX(회계코드!$A$27:$O$27,,MATCH(A37,회계코드!$A$5:$O$5,0)),1)),"")</f>
        <v/>
      </c>
      <c r="E37" s="109" t="str">
        <f t="shared" si="2"/>
        <v/>
      </c>
      <c r="F37" s="110" t="str">
        <f t="shared" si="3"/>
        <v/>
      </c>
      <c r="G37" s="111" t="str">
        <f>IF(F37="","",SUMIFS(지출,항목,F37,회계장부!A:A,"&gt;="&amp;기준일자_시작일,회계장부!A:A,"&lt;="&amp;기준일자_종료일))</f>
        <v/>
      </c>
      <c r="H37" s="112" t="str">
        <f ca="1">IF(LEN(E37)&gt;0,SUM(OFFSET(G37,,,INDEX(회계코드!$A$52:$O$52,,MATCH(E37,회계코드!$A$30:$O$30,0)),1)),"")</f>
        <v/>
      </c>
      <c r="K37" s="104"/>
    </row>
    <row r="38" spans="1:11" s="46" customFormat="1" ht="18" customHeight="1">
      <c r="A38" s="158" t="str">
        <f t="shared" si="0"/>
        <v/>
      </c>
      <c r="B38" s="165" t="str">
        <f t="shared" si="1"/>
        <v/>
      </c>
      <c r="C38" s="111" t="str">
        <f>IF(B38="","",SUMIFS(수입,항목,B38,회계장부!A:A,"&gt;="&amp;기준일자_시작일,회계장부!A:A,"&lt;="&amp;기준일자_종료일))</f>
        <v/>
      </c>
      <c r="D38" s="161" t="str">
        <f ca="1">IF(LEN(A38)&gt;0,SUM(OFFSET(C38,,,INDEX(회계코드!$A$27:$O$27,,MATCH(A38,회계코드!$A$5:$O$5,0)),1)),"")</f>
        <v/>
      </c>
      <c r="E38" s="109" t="str">
        <f t="shared" si="2"/>
        <v/>
      </c>
      <c r="F38" s="110" t="str">
        <f t="shared" si="3"/>
        <v/>
      </c>
      <c r="G38" s="111" t="str">
        <f>IF(F38="","",SUMIFS(지출,항목,F38,회계장부!A:A,"&gt;="&amp;기준일자_시작일,회계장부!A:A,"&lt;="&amp;기준일자_종료일))</f>
        <v/>
      </c>
      <c r="H38" s="112" t="str">
        <f ca="1">IF(LEN(E38)&gt;0,SUM(OFFSET(G38,,,INDEX(회계코드!$A$52:$O$52,,MATCH(E38,회계코드!$A$30:$O$30,0)),1)),"")</f>
        <v/>
      </c>
      <c r="K38" s="104"/>
    </row>
    <row r="39" spans="1:11" s="46" customFormat="1" ht="18" customHeight="1">
      <c r="A39" s="158" t="str">
        <f t="shared" si="0"/>
        <v/>
      </c>
      <c r="B39" s="165" t="str">
        <f t="shared" si="1"/>
        <v/>
      </c>
      <c r="C39" s="111" t="str">
        <f>IF(B39="","",SUMIFS(수입,항목,B39,회계장부!A:A,"&gt;="&amp;기준일자_시작일,회계장부!A:A,"&lt;="&amp;기준일자_종료일))</f>
        <v/>
      </c>
      <c r="D39" s="161" t="str">
        <f ca="1">IF(LEN(A39)&gt;0,SUM(OFFSET(C39,,,INDEX(회계코드!$A$27:$O$27,,MATCH(A39,회계코드!$A$5:$O$5,0)),1)),"")</f>
        <v/>
      </c>
      <c r="E39" s="109" t="str">
        <f t="shared" si="2"/>
        <v/>
      </c>
      <c r="F39" s="110" t="str">
        <f t="shared" si="3"/>
        <v/>
      </c>
      <c r="G39" s="111" t="str">
        <f>IF(F39="","",SUMIFS(지출,항목,F39,회계장부!A:A,"&gt;="&amp;기준일자_시작일,회계장부!A:A,"&lt;="&amp;기준일자_종료일))</f>
        <v/>
      </c>
      <c r="H39" s="112" t="str">
        <f ca="1">IF(LEN(E39)&gt;0,SUM(OFFSET(G39,,,INDEX(회계코드!$A$52:$O$52,,MATCH(E39,회계코드!$A$30:$O$30,0)),1)),"")</f>
        <v/>
      </c>
      <c r="K39" s="104"/>
    </row>
    <row r="40" spans="1:11" s="46" customFormat="1" ht="18" customHeight="1">
      <c r="A40" s="158" t="str">
        <f t="shared" si="0"/>
        <v/>
      </c>
      <c r="B40" s="165" t="str">
        <f t="shared" si="1"/>
        <v/>
      </c>
      <c r="C40" s="111" t="str">
        <f>IF(B40="","",SUMIFS(수입,항목,B40,회계장부!A:A,"&gt;="&amp;기준일자_시작일,회계장부!A:A,"&lt;="&amp;기준일자_종료일))</f>
        <v/>
      </c>
      <c r="D40" s="161" t="str">
        <f ca="1">IF(LEN(A40)&gt;0,SUM(OFFSET(C40,,,INDEX(회계코드!$A$27:$O$27,,MATCH(A40,회계코드!$A$5:$O$5,0)),1)),"")</f>
        <v/>
      </c>
      <c r="E40" s="109" t="str">
        <f t="shared" si="2"/>
        <v/>
      </c>
      <c r="F40" s="110" t="str">
        <f t="shared" si="3"/>
        <v/>
      </c>
      <c r="G40" s="111" t="str">
        <f>IF(F40="","",SUMIFS(지출,항목,F40,회계장부!A:A,"&gt;="&amp;기준일자_시작일,회계장부!A:A,"&lt;="&amp;기준일자_종료일))</f>
        <v/>
      </c>
      <c r="H40" s="112" t="str">
        <f ca="1">IF(LEN(E40)&gt;0,SUM(OFFSET(G40,,,INDEX(회계코드!$A$52:$O$52,,MATCH(E40,회계코드!$A$30:$O$30,0)),1)),"")</f>
        <v/>
      </c>
      <c r="K40" s="104"/>
    </row>
    <row r="41" spans="1:11" s="46" customFormat="1" ht="18" customHeight="1">
      <c r="A41" s="158" t="str">
        <f t="shared" si="0"/>
        <v/>
      </c>
      <c r="B41" s="165" t="str">
        <f t="shared" si="1"/>
        <v/>
      </c>
      <c r="C41" s="111" t="str">
        <f>IF(B41="","",SUMIFS(수입,항목,B41,회계장부!A:A,"&gt;="&amp;기준일자_시작일,회계장부!A:A,"&lt;="&amp;기준일자_종료일))</f>
        <v/>
      </c>
      <c r="D41" s="161" t="str">
        <f ca="1">IF(LEN(A41)&gt;0,SUM(OFFSET(C41,,,INDEX(회계코드!$A$27:$O$27,,MATCH(A41,회계코드!$A$5:$O$5,0)),1)),"")</f>
        <v/>
      </c>
      <c r="E41" s="109" t="str">
        <f t="shared" si="2"/>
        <v/>
      </c>
      <c r="F41" s="110" t="str">
        <f t="shared" si="3"/>
        <v/>
      </c>
      <c r="G41" s="111" t="str">
        <f>IF(F41="","",SUMIFS(지출,항목,F41,회계장부!A:A,"&gt;="&amp;기준일자_시작일,회계장부!A:A,"&lt;="&amp;기준일자_종료일))</f>
        <v/>
      </c>
      <c r="H41" s="112" t="str">
        <f ca="1">IF(LEN(E41)&gt;0,SUM(OFFSET(G41,,,INDEX(회계코드!$A$52:$O$52,,MATCH(E41,회계코드!$A$30:$O$30,0)),1)),"")</f>
        <v/>
      </c>
      <c r="K41" s="104"/>
    </row>
    <row r="42" spans="1:11" s="46" customFormat="1" ht="18" customHeight="1">
      <c r="A42" s="158" t="str">
        <f t="shared" si="0"/>
        <v/>
      </c>
      <c r="B42" s="165" t="str">
        <f t="shared" si="1"/>
        <v/>
      </c>
      <c r="C42" s="111" t="str">
        <f>IF(B42="","",SUMIFS(수입,항목,B42,회계장부!A:A,"&gt;="&amp;기준일자_시작일,회계장부!A:A,"&lt;="&amp;기준일자_종료일))</f>
        <v/>
      </c>
      <c r="D42" s="161" t="str">
        <f ca="1">IF(LEN(A42)&gt;0,SUM(OFFSET(C42,,,INDEX(회계코드!$A$27:$O$27,,MATCH(A42,회계코드!$A$5:$O$5,0)),1)),"")</f>
        <v/>
      </c>
      <c r="E42" s="109" t="str">
        <f t="shared" si="2"/>
        <v/>
      </c>
      <c r="F42" s="110" t="str">
        <f t="shared" si="3"/>
        <v/>
      </c>
      <c r="G42" s="111" t="str">
        <f>IF(F42="","",SUMIFS(지출,항목,F42,회계장부!A:A,"&gt;="&amp;기준일자_시작일,회계장부!A:A,"&lt;="&amp;기준일자_종료일))</f>
        <v/>
      </c>
      <c r="H42" s="112" t="str">
        <f ca="1">IF(LEN(E42)&gt;0,SUM(OFFSET(G42,,,INDEX(회계코드!$A$52:$O$52,,MATCH(E42,회계코드!$A$30:$O$30,0)),1)),"")</f>
        <v/>
      </c>
      <c r="K42" s="104"/>
    </row>
    <row r="43" spans="1:11" s="46" customFormat="1" ht="18" customHeight="1">
      <c r="A43" s="158" t="str">
        <f t="shared" si="0"/>
        <v/>
      </c>
      <c r="B43" s="165" t="str">
        <f t="shared" si="1"/>
        <v/>
      </c>
      <c r="C43" s="111" t="str">
        <f>IF(B43="","",SUMIFS(수입,항목,B43,회계장부!A:A,"&gt;="&amp;기준일자_시작일,회계장부!A:A,"&lt;="&amp;기준일자_종료일))</f>
        <v/>
      </c>
      <c r="D43" s="161" t="str">
        <f ca="1">IF(LEN(A43)&gt;0,SUM(OFFSET(C43,,,INDEX(회계코드!$A$27:$O$27,,MATCH(A43,회계코드!$A$5:$O$5,0)),1)),"")</f>
        <v/>
      </c>
      <c r="E43" s="109" t="str">
        <f t="shared" si="2"/>
        <v/>
      </c>
      <c r="F43" s="110" t="str">
        <f t="shared" si="3"/>
        <v/>
      </c>
      <c r="G43" s="111" t="str">
        <f>IF(F43="","",SUMIFS(지출,항목,F43,회계장부!A:A,"&gt;="&amp;기준일자_시작일,회계장부!A:A,"&lt;="&amp;기준일자_종료일))</f>
        <v/>
      </c>
      <c r="H43" s="112" t="str">
        <f ca="1">IF(LEN(E43)&gt;0,SUM(OFFSET(G43,,,INDEX(회계코드!$A$52:$O$52,,MATCH(E43,회계코드!$A$30:$O$30,0)),1)),"")</f>
        <v/>
      </c>
      <c r="K43" s="104"/>
    </row>
    <row r="44" spans="1:11" s="46" customFormat="1" ht="18" customHeight="1">
      <c r="A44" s="158" t="str">
        <f t="shared" si="0"/>
        <v/>
      </c>
      <c r="B44" s="165" t="str">
        <f t="shared" si="1"/>
        <v/>
      </c>
      <c r="C44" s="111" t="str">
        <f>IF(B44="","",SUMIFS(수입,항목,B44,회계장부!A:A,"&gt;="&amp;기준일자_시작일,회계장부!A:A,"&lt;="&amp;기준일자_종료일))</f>
        <v/>
      </c>
      <c r="D44" s="161" t="str">
        <f ca="1">IF(LEN(A44)&gt;0,SUM(OFFSET(C44,,,INDEX(회계코드!$A$27:$O$27,,MATCH(A44,회계코드!$A$5:$O$5,0)),1)),"")</f>
        <v/>
      </c>
      <c r="E44" s="109" t="str">
        <f t="shared" si="2"/>
        <v/>
      </c>
      <c r="F44" s="110" t="str">
        <f t="shared" si="3"/>
        <v/>
      </c>
      <c r="G44" s="111" t="str">
        <f>IF(F44="","",SUMIFS(지출,항목,F44,회계장부!A:A,"&gt;="&amp;기준일자_시작일,회계장부!A:A,"&lt;="&amp;기준일자_종료일))</f>
        <v/>
      </c>
      <c r="H44" s="112" t="str">
        <f ca="1">IF(LEN(E44)&gt;0,SUM(OFFSET(G44,,,INDEX(회계코드!$A$52:$O$52,,MATCH(E44,회계코드!$A$30:$O$30,0)),1)),"")</f>
        <v/>
      </c>
      <c r="K44" s="104"/>
    </row>
    <row r="45" spans="1:11" s="46" customFormat="1" ht="18" customHeight="1">
      <c r="A45" s="158" t="str">
        <f t="shared" si="0"/>
        <v/>
      </c>
      <c r="B45" s="165" t="str">
        <f t="shared" si="1"/>
        <v/>
      </c>
      <c r="C45" s="111" t="str">
        <f>IF(B45="","",SUMIFS(수입,항목,B45,회계장부!A:A,"&gt;="&amp;기준일자_시작일,회계장부!A:A,"&lt;="&amp;기준일자_종료일))</f>
        <v/>
      </c>
      <c r="D45" s="161" t="str">
        <f ca="1">IF(LEN(A45)&gt;0,SUM(OFFSET(C45,,,INDEX(회계코드!$A$27:$O$27,,MATCH(A45,회계코드!$A$5:$O$5,0)),1)),"")</f>
        <v/>
      </c>
      <c r="E45" s="109" t="str">
        <f t="shared" si="2"/>
        <v/>
      </c>
      <c r="F45" s="110" t="str">
        <f t="shared" si="3"/>
        <v/>
      </c>
      <c r="G45" s="111" t="str">
        <f>IF(F45="","",SUMIFS(지출,항목,F45,회계장부!A:A,"&gt;="&amp;기준일자_시작일,회계장부!A:A,"&lt;="&amp;기준일자_종료일))</f>
        <v/>
      </c>
      <c r="H45" s="112" t="str">
        <f ca="1">IF(LEN(E45)&gt;0,SUM(OFFSET(G45,,,INDEX(회계코드!$A$52:$O$52,,MATCH(E45,회계코드!$A$30:$O$30,0)),1)),"")</f>
        <v/>
      </c>
      <c r="K45" s="104"/>
    </row>
    <row r="46" spans="1:11" s="46" customFormat="1" ht="18" customHeight="1">
      <c r="A46" s="158" t="str">
        <f t="shared" si="0"/>
        <v/>
      </c>
      <c r="B46" s="165" t="str">
        <f t="shared" si="1"/>
        <v/>
      </c>
      <c r="C46" s="111" t="str">
        <f>IF(B46="","",SUMIFS(수입,항목,B46,회계장부!A:A,"&gt;="&amp;기준일자_시작일,회계장부!A:A,"&lt;="&amp;기준일자_종료일))</f>
        <v/>
      </c>
      <c r="D46" s="161" t="str">
        <f ca="1">IF(LEN(A46)&gt;0,SUM(OFFSET(C46,,,INDEX(회계코드!$A$27:$O$27,,MATCH(A46,회계코드!$A$5:$O$5,0)),1)),"")</f>
        <v/>
      </c>
      <c r="E46" s="109" t="str">
        <f t="shared" si="2"/>
        <v/>
      </c>
      <c r="F46" s="110" t="str">
        <f t="shared" si="3"/>
        <v/>
      </c>
      <c r="G46" s="111" t="str">
        <f>IF(F46="","",SUMIFS(지출,항목,F46,회계장부!A:A,"&gt;="&amp;기준일자_시작일,회계장부!A:A,"&lt;="&amp;기준일자_종료일))</f>
        <v/>
      </c>
      <c r="H46" s="112" t="str">
        <f ca="1">IF(LEN(E46)&gt;0,SUM(OFFSET(G46,,,INDEX(회계코드!$A$52:$O$52,,MATCH(E46,회계코드!$A$30:$O$30,0)),1)),"")</f>
        <v/>
      </c>
      <c r="K46" s="104"/>
    </row>
    <row r="47" spans="1:11" s="46" customFormat="1" ht="18" customHeight="1">
      <c r="A47" s="158" t="str">
        <f t="shared" si="0"/>
        <v/>
      </c>
      <c r="B47" s="165" t="str">
        <f t="shared" si="1"/>
        <v/>
      </c>
      <c r="C47" s="111" t="str">
        <f>IF(B47="","",SUMIFS(수입,항목,B47,회계장부!A:A,"&gt;="&amp;기준일자_시작일,회계장부!A:A,"&lt;="&amp;기준일자_종료일))</f>
        <v/>
      </c>
      <c r="D47" s="161" t="str">
        <f ca="1">IF(LEN(A47)&gt;0,SUM(OFFSET(C47,,,INDEX(회계코드!$A$27:$O$27,,MATCH(A47,회계코드!$A$5:$O$5,0)),1)),"")</f>
        <v/>
      </c>
      <c r="E47" s="109" t="str">
        <f t="shared" si="2"/>
        <v/>
      </c>
      <c r="F47" s="110" t="str">
        <f t="shared" si="3"/>
        <v/>
      </c>
      <c r="G47" s="111" t="str">
        <f>IF(F47="","",SUMIFS(지출,항목,F47,회계장부!A:A,"&gt;="&amp;기준일자_시작일,회계장부!A:A,"&lt;="&amp;기준일자_종료일))</f>
        <v/>
      </c>
      <c r="H47" s="112" t="str">
        <f ca="1">IF(LEN(E47)&gt;0,SUM(OFFSET(G47,,,INDEX(회계코드!$A$52:$O$52,,MATCH(E47,회계코드!$A$30:$O$30,0)),1)),"")</f>
        <v/>
      </c>
      <c r="K47" s="104"/>
    </row>
    <row r="48" spans="1:11" s="46" customFormat="1" ht="18" customHeight="1">
      <c r="A48" s="158" t="str">
        <f t="shared" si="0"/>
        <v/>
      </c>
      <c r="B48" s="165" t="str">
        <f t="shared" si="1"/>
        <v/>
      </c>
      <c r="C48" s="111" t="str">
        <f>IF(B48="","",SUMIFS(수입,항목,B48,회계장부!A:A,"&gt;="&amp;기준일자_시작일,회계장부!A:A,"&lt;="&amp;기준일자_종료일))</f>
        <v/>
      </c>
      <c r="D48" s="161" t="str">
        <f ca="1">IF(LEN(A48)&gt;0,SUM(OFFSET(C48,,,INDEX(회계코드!$A$27:$O$27,,MATCH(A48,회계코드!$A$5:$O$5,0)),1)),"")</f>
        <v/>
      </c>
      <c r="E48" s="109" t="str">
        <f t="shared" si="2"/>
        <v/>
      </c>
      <c r="F48" s="110" t="str">
        <f t="shared" si="3"/>
        <v/>
      </c>
      <c r="G48" s="111" t="str">
        <f>IF(F48="","",SUMIFS(지출,항목,F48,회계장부!A:A,"&gt;="&amp;기준일자_시작일,회계장부!A:A,"&lt;="&amp;기준일자_종료일))</f>
        <v/>
      </c>
      <c r="H48" s="112" t="str">
        <f ca="1">IF(LEN(E48)&gt;0,SUM(OFFSET(G48,,,INDEX(회계코드!$A$52:$O$52,,MATCH(E48,회계코드!$A$30:$O$30,0)),1)),"")</f>
        <v/>
      </c>
      <c r="K48" s="104"/>
    </row>
    <row r="49" spans="1:11" s="46" customFormat="1" ht="18" customHeight="1">
      <c r="A49" s="158" t="str">
        <f t="shared" si="0"/>
        <v/>
      </c>
      <c r="B49" s="165" t="str">
        <f t="shared" si="1"/>
        <v/>
      </c>
      <c r="C49" s="111" t="str">
        <f>IF(B49="","",SUMIFS(수입,항목,B49,회계장부!A:A,"&gt;="&amp;기준일자_시작일,회계장부!A:A,"&lt;="&amp;기준일자_종료일))</f>
        <v/>
      </c>
      <c r="D49" s="161" t="str">
        <f ca="1">IF(LEN(A49)&gt;0,SUM(OFFSET(C49,,,INDEX(회계코드!$A$27:$O$27,,MATCH(A49,회계코드!$A$5:$O$5,0)),1)),"")</f>
        <v/>
      </c>
      <c r="E49" s="109" t="str">
        <f t="shared" si="2"/>
        <v/>
      </c>
      <c r="F49" s="110" t="str">
        <f t="shared" si="3"/>
        <v/>
      </c>
      <c r="G49" s="111" t="str">
        <f>IF(F49="","",SUMIFS(지출,항목,F49,회계장부!A:A,"&gt;="&amp;기준일자_시작일,회계장부!A:A,"&lt;="&amp;기준일자_종료일))</f>
        <v/>
      </c>
      <c r="H49" s="112" t="str">
        <f ca="1">IF(LEN(E49)&gt;0,SUM(OFFSET(G49,,,INDEX(회계코드!$A$52:$O$52,,MATCH(E49,회계코드!$A$30:$O$30,0)),1)),"")</f>
        <v/>
      </c>
      <c r="K49" s="104"/>
    </row>
    <row r="50" spans="1:11" s="46" customFormat="1" ht="18" customHeight="1">
      <c r="A50" s="158" t="str">
        <f t="shared" si="0"/>
        <v/>
      </c>
      <c r="B50" s="165" t="str">
        <f t="shared" si="1"/>
        <v/>
      </c>
      <c r="C50" s="111" t="str">
        <f>IF(B50="","",SUMIFS(수입,항목,B50,회계장부!A:A,"&gt;="&amp;기준일자_시작일,회계장부!A:A,"&lt;="&amp;기준일자_종료일))</f>
        <v/>
      </c>
      <c r="D50" s="161" t="str">
        <f ca="1">IF(LEN(A50)&gt;0,SUM(OFFSET(C50,,,INDEX(회계코드!$A$27:$O$27,,MATCH(A50,회계코드!$A$5:$O$5,0)),1)),"")</f>
        <v/>
      </c>
      <c r="E50" s="109" t="str">
        <f t="shared" si="2"/>
        <v/>
      </c>
      <c r="F50" s="110" t="str">
        <f t="shared" si="3"/>
        <v/>
      </c>
      <c r="G50" s="111" t="str">
        <f>IF(F50="","",SUMIFS(지출,항목,F50,회계장부!A:A,"&gt;="&amp;기준일자_시작일,회계장부!A:A,"&lt;="&amp;기준일자_종료일))</f>
        <v/>
      </c>
      <c r="H50" s="112" t="str">
        <f ca="1">IF(LEN(E50)&gt;0,SUM(OFFSET(G50,,,INDEX(회계코드!$A$52:$O$52,,MATCH(E50,회계코드!$A$30:$O$30,0)),1)),"")</f>
        <v/>
      </c>
      <c r="K50" s="104"/>
    </row>
    <row r="51" spans="1:11" s="46" customFormat="1" ht="18" customHeight="1">
      <c r="A51" s="158" t="str">
        <f t="shared" si="0"/>
        <v/>
      </c>
      <c r="B51" s="165" t="str">
        <f t="shared" si="1"/>
        <v/>
      </c>
      <c r="C51" s="111" t="str">
        <f>IF(B51="","",SUMIFS(수입,항목,B51,회계장부!A:A,"&gt;="&amp;기준일자_시작일,회계장부!A:A,"&lt;="&amp;기준일자_종료일))</f>
        <v/>
      </c>
      <c r="D51" s="161" t="str">
        <f ca="1">IF(LEN(A51)&gt;0,SUM(OFFSET(C51,,,INDEX(회계코드!$A$27:$O$27,,MATCH(A51,회계코드!$A$5:$O$5,0)),1)),"")</f>
        <v/>
      </c>
      <c r="E51" s="109" t="str">
        <f t="shared" si="2"/>
        <v/>
      </c>
      <c r="F51" s="110" t="str">
        <f t="shared" si="3"/>
        <v/>
      </c>
      <c r="G51" s="111" t="str">
        <f>IF(F51="","",SUMIFS(지출,항목,F51,회계장부!A:A,"&gt;="&amp;기준일자_시작일,회계장부!A:A,"&lt;="&amp;기준일자_종료일))</f>
        <v/>
      </c>
      <c r="H51" s="112" t="str">
        <f ca="1">IF(LEN(E51)&gt;0,SUM(OFFSET(G51,,,INDEX(회계코드!$A$52:$O$52,,MATCH(E51,회계코드!$A$30:$O$30,0)),1)),"")</f>
        <v/>
      </c>
      <c r="K51" s="104"/>
    </row>
    <row r="52" spans="1:11" s="46" customFormat="1" ht="18" customHeight="1" thickBot="1">
      <c r="A52" s="162" t="str">
        <f t="shared" si="0"/>
        <v/>
      </c>
      <c r="B52" s="166" t="str">
        <f t="shared" si="1"/>
        <v/>
      </c>
      <c r="C52" s="167" t="str">
        <f>IF(B52="","",SUMIFS(수입,항목,B52,회계장부!A:A,"&gt;="&amp;기준일자_시작일,회계장부!A:A,"&lt;="&amp;기준일자_종료일))</f>
        <v/>
      </c>
      <c r="D52" s="163" t="str">
        <f ca="1">IF(LEN(A52)&gt;0,SUM(OFFSET(C52,,,INDEX(회계코드!$A$27:$O$27,,MATCH(A52,회계코드!$A$5:$O$5,0)),1)),"")</f>
        <v/>
      </c>
      <c r="E52" s="113" t="str">
        <f t="shared" si="2"/>
        <v/>
      </c>
      <c r="F52" s="110" t="str">
        <f t="shared" si="3"/>
        <v/>
      </c>
      <c r="G52" s="111" t="str">
        <f>IF(F52="","",SUMIFS(지출,항목,F52,회계장부!A:A,"&gt;="&amp;기준일자_시작일,회계장부!A:A,"&lt;="&amp;기준일자_종료일))</f>
        <v/>
      </c>
      <c r="H52" s="114" t="str">
        <f ca="1">IF(LEN(E52)&gt;0,SUM(OFFSET(G52,,,INDEX(회계코드!$A$52:$O$52,,MATCH(E52,회계코드!$A$30:$O$30,0)),1)),"")</f>
        <v/>
      </c>
      <c r="K52" s="104"/>
    </row>
    <row r="53" spans="1:11" s="46" customFormat="1" ht="18" customHeight="1" thickTop="1" thickBot="1">
      <c r="A53" s="417" t="s">
        <v>91</v>
      </c>
      <c r="B53" s="417"/>
      <c r="C53" s="418"/>
      <c r="D53" s="115">
        <f ca="1">SUM(D6:D52)</f>
        <v>0</v>
      </c>
      <c r="E53" s="409" t="s">
        <v>92</v>
      </c>
      <c r="F53" s="410"/>
      <c r="G53" s="411"/>
      <c r="H53" s="116">
        <f ca="1">SUM(H6:H52)</f>
        <v>50000</v>
      </c>
      <c r="K53" s="104"/>
    </row>
    <row r="54" spans="1:11" s="46" customFormat="1" ht="18" customHeight="1" thickTop="1" thickBot="1">
      <c r="A54" s="417" t="s">
        <v>93</v>
      </c>
      <c r="B54" s="417"/>
      <c r="C54" s="418"/>
      <c r="D54" s="115">
        <f>SUMIFS(수입,회계월,"&lt;"&amp;MONTH(기준일자_시작일))-SUMIFS(수입,회계월,"&lt;"&amp;MONTH(기준일자_시작일),관,"전년도이월금")</f>
        <v>0</v>
      </c>
      <c r="E54" s="409" t="s">
        <v>94</v>
      </c>
      <c r="F54" s="410"/>
      <c r="G54" s="411"/>
      <c r="H54" s="116">
        <f>SUMIFS(지출,회계월,"&lt;"&amp;MONTH(기준일자_시작일))</f>
        <v>0</v>
      </c>
      <c r="K54" s="104"/>
    </row>
    <row r="55" spans="1:11" s="46" customFormat="1" ht="18" customHeight="1" thickTop="1" thickBot="1">
      <c r="A55" s="412" t="s">
        <v>8</v>
      </c>
      <c r="B55" s="412"/>
      <c r="C55" s="413"/>
      <c r="D55" s="117">
        <f>SUMIFS(수입,관,"전년도이월금")</f>
        <v>270000</v>
      </c>
      <c r="E55" s="414" t="s">
        <v>37</v>
      </c>
      <c r="F55" s="415"/>
      <c r="G55" s="416"/>
      <c r="H55" s="118">
        <f ca="1">SUM(D53:D55)-SUM(H53:H54)</f>
        <v>220000</v>
      </c>
      <c r="K55" s="104"/>
    </row>
  </sheetData>
  <sheetProtection algorithmName="SHA-512" hashValue="AfukrTqU2RClJIsrehQPHK47lWuC80JvlOXNm4i7wTe92DJ205pGgiQNZ3dyd5rmZlMBbJ4BP8NKZQvFa1z8qw==" saltValue="rSaZ6AycEQ5AyyRbk2sf7Q==" spinCount="100000" sheet="1" objects="1" scenarios="1" selectLockedCells="1"/>
  <mergeCells count="13">
    <mergeCell ref="E54:G54"/>
    <mergeCell ref="A55:C55"/>
    <mergeCell ref="E55:G55"/>
    <mergeCell ref="A53:C53"/>
    <mergeCell ref="E53:G53"/>
    <mergeCell ref="A54:C54"/>
    <mergeCell ref="A1:H1"/>
    <mergeCell ref="A2:H2"/>
    <mergeCell ref="A4:D4"/>
    <mergeCell ref="E4:H4"/>
    <mergeCell ref="C5:D5"/>
    <mergeCell ref="G5:H5"/>
    <mergeCell ref="A3:H3"/>
  </mergeCells>
  <phoneticPr fontId="2" type="noConversion"/>
  <conditionalFormatting sqref="A1:H1">
    <cfRule type="cellIs" dxfId="22" priority="23" operator="notEqual">
      <formula>"회계 보고서"</formula>
    </cfRule>
  </conditionalFormatting>
  <conditionalFormatting sqref="A3:H3">
    <cfRule type="expression" dxfId="21" priority="2">
      <formula>FIND("오류",A3,1)&gt;0</formula>
    </cfRule>
    <cfRule type="expression" dxfId="20" priority="19">
      <formula>LEN(교회명)*LEN(부서명)=0</formula>
    </cfRule>
  </conditionalFormatting>
  <conditionalFormatting sqref="E6:H52">
    <cfRule type="expression" dxfId="19" priority="8">
      <formula>AND(LEN($E6)=0,LEN($F6)=0)</formula>
    </cfRule>
  </conditionalFormatting>
  <conditionalFormatting sqref="H6:H51 E6:E51">
    <cfRule type="expression" dxfId="18" priority="7">
      <formula>LEN($E7)&gt;0</formula>
    </cfRule>
  </conditionalFormatting>
  <conditionalFormatting sqref="A6:A51 D6:D51">
    <cfRule type="expression" dxfId="17" priority="4">
      <formula>LEN($A7)&gt;0</formula>
    </cfRule>
  </conditionalFormatting>
  <conditionalFormatting sqref="A6:D52">
    <cfRule type="expression" dxfId="16" priority="5">
      <formula>AND(LEN($A6)=0,LEN($B6)=0)</formula>
    </cfRule>
  </conditionalFormatting>
  <conditionalFormatting sqref="A1:H55">
    <cfRule type="expression" dxfId="15" priority="1">
      <formula>LEN(기준일자_시작일)*LEN(기준일자_종료일)=0</formula>
    </cfRule>
  </conditionalFormatting>
  <dataValidations count="2">
    <dataValidation type="date" allowBlank="1" showInputMessage="1" showErrorMessage="1" errorTitle="시작일자 오류" error="시작일자를 입력하세요" sqref="K3" xr:uid="{CA60743C-752C-45FC-8BB0-BBBCFB04996A}">
      <formula1>36892</formula1>
      <formula2>401768</formula2>
    </dataValidation>
    <dataValidation type="date" allowBlank="1" showInputMessage="1" showErrorMessage="1" errorTitle="종료일자를 입력하세요" error="종료일자는 시작일자와 동일하거나 시작일자 이후 날짜로 입력하세요." sqref="K4" xr:uid="{8251C063-D58F-4C9D-B7B6-C98992EE30D4}">
      <formula1>K3</formula1>
      <formula2>401768</formula2>
    </dataValidation>
  </dataValidations>
  <printOptions horizontalCentered="1"/>
  <pageMargins left="0.11811023622047245" right="0.11811023622047245" top="0.35433070866141736" bottom="0.35433070866141736" header="0" footer="0"/>
  <pageSetup paperSize="9" scale="78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5D6B-B121-49F9-A4D1-D645873E5264}">
  <sheetPr>
    <pageSetUpPr fitToPage="1"/>
  </sheetPr>
  <dimension ref="A1:N57"/>
  <sheetViews>
    <sheetView showGridLines="0" showRowColHeaders="0" topLeftCell="A19" zoomScaleNormal="100" zoomScaleSheetLayoutView="85" workbookViewId="0">
      <selection activeCell="Q18" sqref="Q18"/>
    </sheetView>
  </sheetViews>
  <sheetFormatPr defaultColWidth="9" defaultRowHeight="14"/>
  <cols>
    <col min="1" max="1" width="8.83203125" style="25" customWidth="1"/>
    <col min="2" max="8" width="14.83203125" style="25" customWidth="1"/>
    <col min="9" max="9" width="3.58203125" style="25" customWidth="1"/>
    <col min="10" max="10" width="9.58203125" style="25" customWidth="1"/>
    <col min="11" max="11" width="10.58203125" style="25" customWidth="1"/>
    <col min="12" max="13" width="14.83203125" style="25" customWidth="1"/>
    <col min="14" max="16384" width="9" style="25"/>
  </cols>
  <sheetData>
    <row r="1" spans="1:13" s="5" customFormat="1" ht="33">
      <c r="A1" s="430" t="str">
        <f>"교회 지원기관 결산서 (" &amp; 회계년도 &amp; "년 상반기)"</f>
        <v>교회 지원기관 결산서 (2023년 상반기)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13" s="5" customFormat="1" ht="6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8" customFormat="1" ht="24" customHeight="1" thickBot="1">
      <c r="A3" s="7" t="s">
        <v>76</v>
      </c>
      <c r="B3" s="431" t="str">
        <f>IF(LEN(교회명)*LEN(부서명)&gt;0,교회명&amp;" "&amp;부서명,"")</f>
        <v>대구동부교회 재정부</v>
      </c>
      <c r="C3" s="431"/>
      <c r="D3" s="432" t="str">
        <f>IF(LEN(교회명)&gt;0,IF(LEN(부서명)&gt;0,IF(COUNTIFS(회계코드!$A$51:$O$51,"관입력누락")+COUNTIFS(회계코드!$A$26:$O$26,"관입력누락")&gt;0,"(오류) 회계코드의 관 항목은 누락없이 순서대로 입력하세요",""),"[오류] 회계코드 Sheet에서 부서명을 입력하세요."),"[오류] 회계코드 Sheet에서 교회명을 입력하세요.")</f>
        <v/>
      </c>
      <c r="E3" s="432"/>
      <c r="F3" s="432"/>
      <c r="G3" s="432"/>
      <c r="H3" s="432"/>
      <c r="I3" s="432"/>
      <c r="J3" s="432"/>
      <c r="K3" s="432"/>
      <c r="L3" s="432"/>
      <c r="M3" s="9" t="s">
        <v>77</v>
      </c>
    </row>
    <row r="4" spans="1:13" s="8" customFormat="1" ht="21" customHeight="1">
      <c r="A4" s="433" t="s">
        <v>41</v>
      </c>
      <c r="B4" s="436" t="s">
        <v>42</v>
      </c>
      <c r="C4" s="437"/>
      <c r="D4" s="437"/>
      <c r="E4" s="437"/>
      <c r="F4" s="437"/>
      <c r="G4" s="437"/>
      <c r="H4" s="438"/>
      <c r="I4" s="439" t="s">
        <v>43</v>
      </c>
      <c r="J4" s="440"/>
      <c r="K4" s="440"/>
      <c r="L4" s="441"/>
      <c r="M4" s="442" t="s">
        <v>44</v>
      </c>
    </row>
    <row r="5" spans="1:13" s="8" customFormat="1" ht="21" customHeight="1">
      <c r="A5" s="434"/>
      <c r="B5" s="445" t="s">
        <v>45</v>
      </c>
      <c r="C5" s="447" t="s">
        <v>46</v>
      </c>
      <c r="D5" s="420"/>
      <c r="E5" s="420"/>
      <c r="F5" s="420"/>
      <c r="G5" s="420"/>
      <c r="H5" s="448" t="s">
        <v>47</v>
      </c>
      <c r="I5" s="419" t="s">
        <v>48</v>
      </c>
      <c r="J5" s="420"/>
      <c r="K5" s="421"/>
      <c r="L5" s="425" t="s">
        <v>49</v>
      </c>
      <c r="M5" s="443"/>
    </row>
    <row r="6" spans="1:13" s="8" customFormat="1" ht="21" customHeight="1">
      <c r="A6" s="435"/>
      <c r="B6" s="446"/>
      <c r="C6" s="87" t="s">
        <v>50</v>
      </c>
      <c r="D6" s="87" t="s">
        <v>51</v>
      </c>
      <c r="E6" s="87" t="s">
        <v>52</v>
      </c>
      <c r="F6" s="87" t="s">
        <v>53</v>
      </c>
      <c r="G6" s="11" t="s">
        <v>22</v>
      </c>
      <c r="H6" s="449"/>
      <c r="I6" s="422"/>
      <c r="J6" s="423"/>
      <c r="K6" s="424"/>
      <c r="L6" s="426"/>
      <c r="M6" s="444"/>
    </row>
    <row r="7" spans="1:13" s="8" customFormat="1" ht="33" customHeight="1">
      <c r="A7" s="84" t="s">
        <v>54</v>
      </c>
      <c r="B7" s="88">
        <f>SUMIFS(수입,회계장부!I:I,"전년도이월금")</f>
        <v>270000</v>
      </c>
      <c r="C7" s="427"/>
      <c r="D7" s="428"/>
      <c r="E7" s="428"/>
      <c r="F7" s="428"/>
      <c r="G7" s="428"/>
      <c r="H7" s="12">
        <f>B7</f>
        <v>270000</v>
      </c>
      <c r="I7" s="13"/>
      <c r="J7" s="14"/>
      <c r="K7" s="428"/>
      <c r="L7" s="428"/>
      <c r="M7" s="429"/>
    </row>
    <row r="8" spans="1:13" s="15" customFormat="1" ht="12" customHeight="1">
      <c r="A8" s="483" t="s">
        <v>55</v>
      </c>
      <c r="B8" s="89"/>
      <c r="C8" s="454">
        <f>SUMIFS(수입,항목,"교회지원금",회계월,"="&amp;LEFT(A8,LEN(A8)-1))</f>
        <v>0</v>
      </c>
      <c r="D8" s="454">
        <f>SUMIFS(수입,항목,"재배정금",회계월,"="&amp;LEFT(A8,LEN(A8)-1))</f>
        <v>0</v>
      </c>
      <c r="E8" s="454">
        <f>SUMIFS(수입,관,"헌금/회비",회계월,"="&amp;LEFT(A8,LEN(A8)-1))</f>
        <v>0</v>
      </c>
      <c r="F8" s="454">
        <f>SUMIFS(수입,회계월,"="&amp;LEFT(A8,LEN(A8)-1),회계장부!I:I,"&lt;&gt;"&amp;"전년도이월금")-SUM(C8:E12)</f>
        <v>0</v>
      </c>
      <c r="G8" s="454">
        <f>SUM(C8:F12)</f>
        <v>0</v>
      </c>
      <c r="H8" s="461">
        <f>G8</f>
        <v>0</v>
      </c>
      <c r="I8" s="464">
        <v>1</v>
      </c>
      <c r="J8" s="457" t="str">
        <f>IF(ISBLANK(회계코드!A30),"",회계코드!A30)</f>
        <v>간식/식대비</v>
      </c>
      <c r="K8" s="458"/>
      <c r="L8" s="461">
        <f>SUMIFS(지출,관,J8,회계월,"&lt;=6")</f>
        <v>50000</v>
      </c>
      <c r="M8" s="463"/>
    </row>
    <row r="9" spans="1:13" s="15" customFormat="1" ht="12" customHeight="1">
      <c r="A9" s="484"/>
      <c r="B9" s="82"/>
      <c r="C9" s="455"/>
      <c r="D9" s="455"/>
      <c r="E9" s="455"/>
      <c r="F9" s="455"/>
      <c r="G9" s="455"/>
      <c r="H9" s="476"/>
      <c r="I9" s="465"/>
      <c r="J9" s="459"/>
      <c r="K9" s="460"/>
      <c r="L9" s="462"/>
      <c r="M9" s="444"/>
    </row>
    <row r="10" spans="1:13" s="15" customFormat="1" ht="12" customHeight="1">
      <c r="A10" s="484"/>
      <c r="B10" s="82"/>
      <c r="C10" s="455"/>
      <c r="D10" s="455"/>
      <c r="E10" s="455"/>
      <c r="F10" s="455"/>
      <c r="G10" s="455"/>
      <c r="H10" s="476"/>
      <c r="I10" s="464">
        <v>2</v>
      </c>
      <c r="J10" s="457" t="str">
        <f>IF(ISBLANK(회계코드!B30),"",회계코드!B30)</f>
        <v>시상/선물</v>
      </c>
      <c r="K10" s="458"/>
      <c r="L10" s="461">
        <f t="shared" ref="L10:L37" si="0">SUMIFS(지출,관,J10,회계월,"&lt;=6")</f>
        <v>0</v>
      </c>
      <c r="M10" s="463"/>
    </row>
    <row r="11" spans="1:13" s="15" customFormat="1" ht="12" customHeight="1">
      <c r="A11" s="484"/>
      <c r="B11" s="82"/>
      <c r="C11" s="455"/>
      <c r="D11" s="455"/>
      <c r="E11" s="455"/>
      <c r="F11" s="455"/>
      <c r="G11" s="455"/>
      <c r="H11" s="476"/>
      <c r="I11" s="465"/>
      <c r="J11" s="459"/>
      <c r="K11" s="460"/>
      <c r="L11" s="462"/>
      <c r="M11" s="444"/>
    </row>
    <row r="12" spans="1:13" s="15" customFormat="1" ht="12" customHeight="1">
      <c r="A12" s="485"/>
      <c r="B12" s="82"/>
      <c r="C12" s="456"/>
      <c r="D12" s="456"/>
      <c r="E12" s="456"/>
      <c r="F12" s="456"/>
      <c r="G12" s="456"/>
      <c r="H12" s="462"/>
      <c r="I12" s="464">
        <v>3</v>
      </c>
      <c r="J12" s="457" t="str">
        <f>IF(ISBLANK(회계코드!C30),"",회계코드!C30)</f>
        <v>심방비</v>
      </c>
      <c r="K12" s="458"/>
      <c r="L12" s="461">
        <f t="shared" si="0"/>
        <v>0</v>
      </c>
      <c r="M12" s="463"/>
    </row>
    <row r="13" spans="1:13" s="15" customFormat="1" ht="12" customHeight="1">
      <c r="A13" s="483" t="s">
        <v>114</v>
      </c>
      <c r="B13" s="82"/>
      <c r="C13" s="454">
        <f>SUMIFS(수입,항목,"교회지원금",회계월,"="&amp;LEFT(A13,LEN(A13)-1))</f>
        <v>0</v>
      </c>
      <c r="D13" s="454">
        <f>SUMIFS(수입,항목,"재배정금",회계월,"="&amp;LEFT(A13,LEN(A13)-1))</f>
        <v>0</v>
      </c>
      <c r="E13" s="454">
        <f>SUMIFS(수입,관,"헌금/회비",회계월,"="&amp;LEFT(A13,LEN(A13)-1))</f>
        <v>0</v>
      </c>
      <c r="F13" s="454">
        <f>SUMIFS(수입,회계월,"="&amp;LEFT(A13,LEN(A13)-1),회계장부!I:I,"&lt;&gt;"&amp;"전년도이월금")-SUM(C13:E17)</f>
        <v>0</v>
      </c>
      <c r="G13" s="454">
        <f t="shared" ref="G13" si="1">SUM(C13:F17)</f>
        <v>0</v>
      </c>
      <c r="H13" s="461">
        <f t="shared" ref="H13" si="2">G13</f>
        <v>0</v>
      </c>
      <c r="I13" s="465"/>
      <c r="J13" s="459"/>
      <c r="K13" s="460"/>
      <c r="L13" s="462"/>
      <c r="M13" s="444"/>
    </row>
    <row r="14" spans="1:13" s="15" customFormat="1" ht="12" customHeight="1">
      <c r="A14" s="484"/>
      <c r="B14" s="82"/>
      <c r="C14" s="455"/>
      <c r="D14" s="455"/>
      <c r="E14" s="455"/>
      <c r="F14" s="455"/>
      <c r="G14" s="455"/>
      <c r="H14" s="476"/>
      <c r="I14" s="464">
        <v>4</v>
      </c>
      <c r="J14" s="457" t="str">
        <f>IF(ISBLANK(회계코드!D30),"",회계코드!D30)</f>
        <v>특강/도서구입비</v>
      </c>
      <c r="K14" s="458"/>
      <c r="L14" s="461">
        <f t="shared" si="0"/>
        <v>0</v>
      </c>
      <c r="M14" s="463"/>
    </row>
    <row r="15" spans="1:13" s="15" customFormat="1" ht="12" customHeight="1">
      <c r="A15" s="484"/>
      <c r="B15" s="82"/>
      <c r="C15" s="455"/>
      <c r="D15" s="455"/>
      <c r="E15" s="455"/>
      <c r="F15" s="455"/>
      <c r="G15" s="455"/>
      <c r="H15" s="476"/>
      <c r="I15" s="465"/>
      <c r="J15" s="459"/>
      <c r="K15" s="460"/>
      <c r="L15" s="462"/>
      <c r="M15" s="444"/>
    </row>
    <row r="16" spans="1:13" s="15" customFormat="1" ht="12" customHeight="1">
      <c r="A16" s="484"/>
      <c r="B16" s="82"/>
      <c r="C16" s="455"/>
      <c r="D16" s="455"/>
      <c r="E16" s="455"/>
      <c r="F16" s="455"/>
      <c r="G16" s="455"/>
      <c r="H16" s="476"/>
      <c r="I16" s="464">
        <v>5</v>
      </c>
      <c r="J16" s="457" t="str">
        <f>IF(ISBLANK(회계코드!E30),"",회계코드!E30)</f>
        <v>요람/현수막제작비</v>
      </c>
      <c r="K16" s="458"/>
      <c r="L16" s="461">
        <f t="shared" si="0"/>
        <v>0</v>
      </c>
      <c r="M16" s="463"/>
    </row>
    <row r="17" spans="1:13" s="15" customFormat="1" ht="12" customHeight="1">
      <c r="A17" s="485"/>
      <c r="B17" s="82"/>
      <c r="C17" s="456"/>
      <c r="D17" s="456"/>
      <c r="E17" s="456"/>
      <c r="F17" s="456"/>
      <c r="G17" s="456"/>
      <c r="H17" s="462"/>
      <c r="I17" s="465"/>
      <c r="J17" s="459"/>
      <c r="K17" s="460"/>
      <c r="L17" s="462"/>
      <c r="M17" s="444"/>
    </row>
    <row r="18" spans="1:13" s="15" customFormat="1" ht="12" customHeight="1">
      <c r="A18" s="483" t="s">
        <v>115</v>
      </c>
      <c r="B18" s="82"/>
      <c r="C18" s="454">
        <f>SUMIFS(수입,항목,"교회지원금",회계월,"="&amp;LEFT(A18,LEN(A18)-1))</f>
        <v>0</v>
      </c>
      <c r="D18" s="454">
        <f>SUMIFS(수입,항목,"재배정금",회계월,"="&amp;LEFT(A18,LEN(A18)-1))</f>
        <v>0</v>
      </c>
      <c r="E18" s="454">
        <f>SUMIFS(수입,관,"헌금/회비",회계월,"="&amp;LEFT(A18,LEN(A18)-1))</f>
        <v>0</v>
      </c>
      <c r="F18" s="487">
        <f>SUMIFS(수입,회계월,"="&amp;LEFT(A18,LEN(A18)-1),회계장부!I:I,"&lt;&gt;"&amp;"전년도이월금")-SUM(C18:E22)</f>
        <v>0</v>
      </c>
      <c r="G18" s="454">
        <f t="shared" ref="G18" si="3">SUM(C18:F22)</f>
        <v>0</v>
      </c>
      <c r="H18" s="461">
        <f t="shared" ref="H18" si="4">G18</f>
        <v>0</v>
      </c>
      <c r="I18" s="464">
        <v>6</v>
      </c>
      <c r="J18" s="457" t="str">
        <f>IF(ISBLANK(회계코드!F30),"",회계코드!F30)</f>
        <v>수련회</v>
      </c>
      <c r="K18" s="458"/>
      <c r="L18" s="461">
        <f t="shared" si="0"/>
        <v>0</v>
      </c>
      <c r="M18" s="463"/>
    </row>
    <row r="19" spans="1:13" s="15" customFormat="1" ht="12" customHeight="1">
      <c r="A19" s="484"/>
      <c r="B19" s="82"/>
      <c r="C19" s="455"/>
      <c r="D19" s="455"/>
      <c r="E19" s="455"/>
      <c r="F19" s="488"/>
      <c r="G19" s="455"/>
      <c r="H19" s="476"/>
      <c r="I19" s="465"/>
      <c r="J19" s="459"/>
      <c r="K19" s="460"/>
      <c r="L19" s="462"/>
      <c r="M19" s="444"/>
    </row>
    <row r="20" spans="1:13" s="15" customFormat="1" ht="12" customHeight="1">
      <c r="A20" s="484"/>
      <c r="B20" s="82"/>
      <c r="C20" s="455"/>
      <c r="D20" s="455"/>
      <c r="E20" s="455"/>
      <c r="F20" s="488"/>
      <c r="G20" s="455"/>
      <c r="H20" s="476"/>
      <c r="I20" s="464">
        <v>7</v>
      </c>
      <c r="J20" s="457" t="str">
        <f>IF(ISBLANK(회계코드!G30),"",회계코드!G30)</f>
        <v>기타지출</v>
      </c>
      <c r="K20" s="458"/>
      <c r="L20" s="461">
        <f t="shared" si="0"/>
        <v>0</v>
      </c>
      <c r="M20" s="463"/>
    </row>
    <row r="21" spans="1:13" s="15" customFormat="1" ht="12" customHeight="1">
      <c r="A21" s="484"/>
      <c r="B21" s="82"/>
      <c r="C21" s="455"/>
      <c r="D21" s="455"/>
      <c r="E21" s="455"/>
      <c r="F21" s="488"/>
      <c r="G21" s="455"/>
      <c r="H21" s="476"/>
      <c r="I21" s="465"/>
      <c r="J21" s="459"/>
      <c r="K21" s="460"/>
      <c r="L21" s="462"/>
      <c r="M21" s="444"/>
    </row>
    <row r="22" spans="1:13" s="15" customFormat="1" ht="12" customHeight="1">
      <c r="A22" s="485"/>
      <c r="B22" s="82"/>
      <c r="C22" s="456"/>
      <c r="D22" s="456"/>
      <c r="E22" s="456"/>
      <c r="F22" s="489"/>
      <c r="G22" s="456"/>
      <c r="H22" s="462"/>
      <c r="I22" s="464">
        <v>8</v>
      </c>
      <c r="J22" s="457" t="str">
        <f>IF(ISBLANK(회계코드!H30),"",회계코드!H30)</f>
        <v/>
      </c>
      <c r="K22" s="458"/>
      <c r="L22" s="461">
        <f t="shared" si="0"/>
        <v>0</v>
      </c>
      <c r="M22" s="463"/>
    </row>
    <row r="23" spans="1:13" s="15" customFormat="1" ht="12" customHeight="1">
      <c r="A23" s="483" t="s">
        <v>116</v>
      </c>
      <c r="B23" s="82"/>
      <c r="C23" s="454">
        <f>SUMIFS(수입,항목,"교회지원금",회계월,"="&amp;LEFT(A23,LEN(A23)-1))</f>
        <v>0</v>
      </c>
      <c r="D23" s="454">
        <f>SUMIFS(수입,항목,"재배정금",회계월,"="&amp;LEFT(A23,LEN(A23)-1))</f>
        <v>0</v>
      </c>
      <c r="E23" s="454">
        <f>SUMIFS(수입,관,"헌금/회비",회계월,"="&amp;LEFT(A23,LEN(A23)-1))</f>
        <v>0</v>
      </c>
      <c r="F23" s="454">
        <f>SUMIFS(수입,회계월,"="&amp;LEFT(A23,LEN(A23)-1),회계장부!I:I,"&lt;&gt;"&amp;"전년도이월금")-SUM(C23:E27)</f>
        <v>0</v>
      </c>
      <c r="G23" s="454">
        <f t="shared" ref="G23" si="5">SUM(C23:F27)</f>
        <v>0</v>
      </c>
      <c r="H23" s="461">
        <f t="shared" ref="H23" si="6">G23</f>
        <v>0</v>
      </c>
      <c r="I23" s="465"/>
      <c r="J23" s="459"/>
      <c r="K23" s="460"/>
      <c r="L23" s="462"/>
      <c r="M23" s="444"/>
    </row>
    <row r="24" spans="1:13" s="15" customFormat="1" ht="12" customHeight="1">
      <c r="A24" s="484"/>
      <c r="B24" s="82"/>
      <c r="C24" s="455"/>
      <c r="D24" s="455"/>
      <c r="E24" s="455"/>
      <c r="F24" s="455"/>
      <c r="G24" s="455"/>
      <c r="H24" s="476"/>
      <c r="I24" s="464">
        <v>9</v>
      </c>
      <c r="J24" s="457" t="str">
        <f>IF(ISBLANK(회계코드!I30),"",회계코드!I30)</f>
        <v/>
      </c>
      <c r="K24" s="458"/>
      <c r="L24" s="461">
        <f t="shared" si="0"/>
        <v>0</v>
      </c>
      <c r="M24" s="463"/>
    </row>
    <row r="25" spans="1:13" s="15" customFormat="1" ht="12" customHeight="1">
      <c r="A25" s="484"/>
      <c r="B25" s="82"/>
      <c r="C25" s="455"/>
      <c r="D25" s="455"/>
      <c r="E25" s="455"/>
      <c r="F25" s="455"/>
      <c r="G25" s="455"/>
      <c r="H25" s="476"/>
      <c r="I25" s="465"/>
      <c r="J25" s="459"/>
      <c r="K25" s="460"/>
      <c r="L25" s="462"/>
      <c r="M25" s="444"/>
    </row>
    <row r="26" spans="1:13" s="15" customFormat="1" ht="12" customHeight="1">
      <c r="A26" s="484"/>
      <c r="B26" s="82"/>
      <c r="C26" s="455"/>
      <c r="D26" s="455"/>
      <c r="E26" s="455"/>
      <c r="F26" s="455"/>
      <c r="G26" s="455"/>
      <c r="H26" s="476"/>
      <c r="I26" s="464">
        <v>10</v>
      </c>
      <c r="J26" s="457" t="str">
        <f>IF(ISBLANK(회계코드!J30),"",회계코드!J30)</f>
        <v/>
      </c>
      <c r="K26" s="458"/>
      <c r="L26" s="461">
        <f t="shared" si="0"/>
        <v>0</v>
      </c>
      <c r="M26" s="463"/>
    </row>
    <row r="27" spans="1:13" s="15" customFormat="1" ht="12" customHeight="1">
      <c r="A27" s="485"/>
      <c r="B27" s="82"/>
      <c r="C27" s="456"/>
      <c r="D27" s="456"/>
      <c r="E27" s="456"/>
      <c r="F27" s="456"/>
      <c r="G27" s="456"/>
      <c r="H27" s="462"/>
      <c r="I27" s="465"/>
      <c r="J27" s="459"/>
      <c r="K27" s="460"/>
      <c r="L27" s="462"/>
      <c r="M27" s="444"/>
    </row>
    <row r="28" spans="1:13" s="15" customFormat="1" ht="12" customHeight="1">
      <c r="A28" s="483" t="s">
        <v>117</v>
      </c>
      <c r="B28" s="82"/>
      <c r="C28" s="454">
        <f>SUMIFS(수입,항목,"교회지원금",회계월,"="&amp;LEFT(A28,LEN(A28)-1))</f>
        <v>0</v>
      </c>
      <c r="D28" s="454">
        <f>SUMIFS(수입,항목,"재배정금",회계월,"="&amp;LEFT(A28,LEN(A28)-1))</f>
        <v>0</v>
      </c>
      <c r="E28" s="454">
        <f>SUMIFS(수입,관,"헌금/회비",회계월,"="&amp;LEFT(A28,LEN(A28)-1))</f>
        <v>0</v>
      </c>
      <c r="F28" s="454">
        <f>SUMIFS(수입,회계월,"="&amp;LEFT(A28,LEN(A28)-1),회계장부!I:I,"&lt;&gt;"&amp;"전년도이월금")-SUM(C28:E32)</f>
        <v>0</v>
      </c>
      <c r="G28" s="454">
        <f t="shared" ref="G28" si="7">SUM(C28:F32)</f>
        <v>0</v>
      </c>
      <c r="H28" s="461">
        <f t="shared" ref="H28" si="8">G28</f>
        <v>0</v>
      </c>
      <c r="I28" s="464">
        <v>11</v>
      </c>
      <c r="J28" s="457" t="str">
        <f>IF(ISBLANK(회계코드!K30),"",회계코드!K30)</f>
        <v/>
      </c>
      <c r="K28" s="458"/>
      <c r="L28" s="461">
        <f t="shared" si="0"/>
        <v>0</v>
      </c>
      <c r="M28" s="463"/>
    </row>
    <row r="29" spans="1:13" s="15" customFormat="1" ht="12" customHeight="1">
      <c r="A29" s="484"/>
      <c r="B29" s="82"/>
      <c r="C29" s="455"/>
      <c r="D29" s="455"/>
      <c r="E29" s="455"/>
      <c r="F29" s="455"/>
      <c r="G29" s="455"/>
      <c r="H29" s="476"/>
      <c r="I29" s="465"/>
      <c r="J29" s="459"/>
      <c r="K29" s="460"/>
      <c r="L29" s="462"/>
      <c r="M29" s="444"/>
    </row>
    <row r="30" spans="1:13" s="15" customFormat="1" ht="12" customHeight="1">
      <c r="A30" s="484"/>
      <c r="B30" s="82"/>
      <c r="C30" s="455"/>
      <c r="D30" s="455"/>
      <c r="E30" s="455"/>
      <c r="F30" s="455"/>
      <c r="G30" s="455"/>
      <c r="H30" s="476"/>
      <c r="I30" s="464">
        <v>12</v>
      </c>
      <c r="J30" s="457" t="str">
        <f>IF(ISBLANK(회계코드!L30),"",회계코드!L30)</f>
        <v/>
      </c>
      <c r="K30" s="458"/>
      <c r="L30" s="461">
        <f t="shared" si="0"/>
        <v>0</v>
      </c>
      <c r="M30" s="463"/>
    </row>
    <row r="31" spans="1:13" s="15" customFormat="1" ht="12" customHeight="1">
      <c r="A31" s="484"/>
      <c r="B31" s="82"/>
      <c r="C31" s="455"/>
      <c r="D31" s="455"/>
      <c r="E31" s="455"/>
      <c r="F31" s="455"/>
      <c r="G31" s="455"/>
      <c r="H31" s="476"/>
      <c r="I31" s="465"/>
      <c r="J31" s="459"/>
      <c r="K31" s="460"/>
      <c r="L31" s="462"/>
      <c r="M31" s="444"/>
    </row>
    <row r="32" spans="1:13" s="15" customFormat="1" ht="12" customHeight="1">
      <c r="A32" s="485"/>
      <c r="B32" s="82"/>
      <c r="C32" s="456"/>
      <c r="D32" s="456"/>
      <c r="E32" s="456"/>
      <c r="F32" s="456"/>
      <c r="G32" s="456"/>
      <c r="H32" s="462"/>
      <c r="I32" s="464">
        <v>13</v>
      </c>
      <c r="J32" s="457" t="str">
        <f>IF(ISBLANK(회계코드!M30),"",회계코드!M30)</f>
        <v/>
      </c>
      <c r="K32" s="458"/>
      <c r="L32" s="461">
        <f t="shared" si="0"/>
        <v>0</v>
      </c>
      <c r="M32" s="463"/>
    </row>
    <row r="33" spans="1:14" s="15" customFormat="1" ht="12" customHeight="1">
      <c r="A33" s="483" t="s">
        <v>56</v>
      </c>
      <c r="B33" s="82"/>
      <c r="C33" s="454">
        <f>SUMIFS(수입,항목,"교회지원금",회계월,"="&amp;LEFT(A33,LEN(A33)-1))</f>
        <v>0</v>
      </c>
      <c r="D33" s="454">
        <f>SUMIFS(수입,항목,"재배정금",회계월,"="&amp;LEFT(A33,LEN(A33)-1))</f>
        <v>0</v>
      </c>
      <c r="E33" s="454">
        <f>SUMIFS(수입,관,"헌금/회비",회계월,"="&amp;LEFT(A33,LEN(A33)-1))</f>
        <v>0</v>
      </c>
      <c r="F33" s="454">
        <f>SUMIFS(수입,회계월,"="&amp;LEFT(A33,LEN(A33)-1),회계장부!I:I,"&lt;&gt;"&amp;"전년도이월금")-SUM(C33:E37)</f>
        <v>0</v>
      </c>
      <c r="G33" s="454">
        <f t="shared" ref="G33" si="9">SUM(C33:F37)</f>
        <v>0</v>
      </c>
      <c r="H33" s="461">
        <f t="shared" ref="H33" si="10">G33</f>
        <v>0</v>
      </c>
      <c r="I33" s="465"/>
      <c r="J33" s="459"/>
      <c r="K33" s="460"/>
      <c r="L33" s="462"/>
      <c r="M33" s="444"/>
    </row>
    <row r="34" spans="1:14" s="15" customFormat="1" ht="12" customHeight="1">
      <c r="A34" s="484"/>
      <c r="B34" s="82"/>
      <c r="C34" s="455"/>
      <c r="D34" s="455"/>
      <c r="E34" s="455"/>
      <c r="F34" s="455"/>
      <c r="G34" s="455"/>
      <c r="H34" s="476"/>
      <c r="I34" s="464">
        <v>14</v>
      </c>
      <c r="J34" s="457" t="str">
        <f>IF(ISBLANK(회계코드!N30),"",회계코드!N30)</f>
        <v/>
      </c>
      <c r="K34" s="458"/>
      <c r="L34" s="461">
        <f t="shared" si="0"/>
        <v>0</v>
      </c>
      <c r="M34" s="463"/>
    </row>
    <row r="35" spans="1:14" s="15" customFormat="1" ht="12" customHeight="1">
      <c r="A35" s="484"/>
      <c r="B35" s="82"/>
      <c r="C35" s="455"/>
      <c r="D35" s="455"/>
      <c r="E35" s="455"/>
      <c r="F35" s="455"/>
      <c r="G35" s="455"/>
      <c r="H35" s="476"/>
      <c r="I35" s="465"/>
      <c r="J35" s="459"/>
      <c r="K35" s="460"/>
      <c r="L35" s="462"/>
      <c r="M35" s="444"/>
    </row>
    <row r="36" spans="1:14" s="15" customFormat="1" ht="12" customHeight="1">
      <c r="A36" s="484"/>
      <c r="B36" s="82"/>
      <c r="C36" s="455"/>
      <c r="D36" s="455"/>
      <c r="E36" s="455"/>
      <c r="F36" s="455"/>
      <c r="G36" s="455"/>
      <c r="H36" s="476"/>
      <c r="I36" s="464">
        <v>15</v>
      </c>
      <c r="J36" s="457" t="str">
        <f>IF(ISBLANK(회계코드!O30),"",회계코드!O30)</f>
        <v/>
      </c>
      <c r="K36" s="458"/>
      <c r="L36" s="461">
        <f t="shared" si="0"/>
        <v>0</v>
      </c>
      <c r="M36" s="463"/>
    </row>
    <row r="37" spans="1:14" s="15" customFormat="1" ht="12" customHeight="1" thickBot="1">
      <c r="A37" s="451"/>
      <c r="B37" s="83"/>
      <c r="C37" s="456"/>
      <c r="D37" s="456"/>
      <c r="E37" s="456"/>
      <c r="F37" s="456"/>
      <c r="G37" s="456"/>
      <c r="H37" s="462"/>
      <c r="I37" s="465"/>
      <c r="J37" s="459"/>
      <c r="K37" s="460"/>
      <c r="L37" s="462">
        <f t="shared" si="0"/>
        <v>0</v>
      </c>
      <c r="M37" s="444"/>
    </row>
    <row r="38" spans="1:14" s="15" customFormat="1" ht="24.75" customHeight="1" thickBot="1">
      <c r="A38" s="450" t="s">
        <v>57</v>
      </c>
      <c r="B38" s="452">
        <f>SUM(B7)</f>
        <v>270000</v>
      </c>
      <c r="C38" s="452">
        <f>SUM(C8:C37)</f>
        <v>0</v>
      </c>
      <c r="D38" s="452">
        <f>SUM(D8:D37)</f>
        <v>0</v>
      </c>
      <c r="E38" s="452">
        <f>SUM(E8:E37)</f>
        <v>0</v>
      </c>
      <c r="F38" s="452">
        <f>SUM(F8:F37)</f>
        <v>0</v>
      </c>
      <c r="G38" s="452">
        <f>SUM(G8:G37)</f>
        <v>0</v>
      </c>
      <c r="H38" s="466">
        <f>SUM(H7:H37)</f>
        <v>270000</v>
      </c>
      <c r="I38" s="468" t="s">
        <v>22</v>
      </c>
      <c r="J38" s="469"/>
      <c r="K38" s="470"/>
      <c r="L38" s="474">
        <f>SUM(L8:L37)</f>
        <v>50000</v>
      </c>
      <c r="M38" s="17" t="s">
        <v>58</v>
      </c>
    </row>
    <row r="39" spans="1:14" s="15" customFormat="1" ht="24.75" customHeight="1" thickBot="1">
      <c r="A39" s="451"/>
      <c r="B39" s="453"/>
      <c r="C39" s="453"/>
      <c r="D39" s="453"/>
      <c r="E39" s="453"/>
      <c r="F39" s="453"/>
      <c r="G39" s="453"/>
      <c r="H39" s="467"/>
      <c r="I39" s="471"/>
      <c r="J39" s="472"/>
      <c r="K39" s="473"/>
      <c r="L39" s="475"/>
      <c r="M39" s="18">
        <f>H38-L38</f>
        <v>220000</v>
      </c>
    </row>
    <row r="40" spans="1:14" s="15" customFormat="1" ht="6" customHeight="1">
      <c r="M40" s="19"/>
    </row>
    <row r="41" spans="1:14" s="15" customFormat="1" ht="17">
      <c r="A41" s="168" t="s">
        <v>59</v>
      </c>
      <c r="B41" s="168" t="s">
        <v>60</v>
      </c>
      <c r="C41" s="169"/>
      <c r="D41" s="168"/>
      <c r="E41" s="168"/>
      <c r="F41" s="168"/>
      <c r="G41" s="168"/>
      <c r="H41" s="169"/>
      <c r="I41" s="169"/>
      <c r="J41" s="169"/>
      <c r="K41" s="169"/>
      <c r="L41" s="169"/>
      <c r="M41" s="170"/>
    </row>
    <row r="42" spans="1:14" s="20" customFormat="1" ht="14.25" customHeight="1"/>
    <row r="43" spans="1:14" s="20" customFormat="1" ht="17" customHeight="1">
      <c r="A43" s="486" t="s">
        <v>78</v>
      </c>
      <c r="B43" s="486"/>
      <c r="C43" s="486"/>
      <c r="D43" s="486"/>
      <c r="E43" s="486"/>
      <c r="F43" s="486"/>
      <c r="G43" s="486"/>
      <c r="H43" s="486"/>
      <c r="I43" s="486"/>
      <c r="J43" s="486"/>
      <c r="K43" s="486"/>
      <c r="L43" s="486"/>
      <c r="M43" s="486"/>
    </row>
    <row r="44" spans="1:14" s="20" customFormat="1" ht="17.5">
      <c r="B44" s="94"/>
      <c r="C44" s="95"/>
      <c r="F44" s="171" t="str">
        <f>회계년도&amp;"년"</f>
        <v>2023년</v>
      </c>
      <c r="G44" s="172">
        <v>44377</v>
      </c>
    </row>
    <row r="45" spans="1:14" s="8" customFormat="1" ht="16.5" customHeight="1" thickBot="1"/>
    <row r="46" spans="1:14" s="8" customFormat="1" ht="41.25" customHeight="1" thickBot="1">
      <c r="B46" s="477" t="str">
        <f>결재란3&amp;" :"</f>
        <v>부장 :</v>
      </c>
      <c r="C46" s="477"/>
      <c r="D46" s="478"/>
      <c r="E46" s="478"/>
      <c r="F46" s="21" t="s">
        <v>79</v>
      </c>
      <c r="G46" s="21"/>
      <c r="H46" s="21"/>
      <c r="I46" s="21"/>
      <c r="J46" s="21"/>
      <c r="K46" s="22" t="s">
        <v>80</v>
      </c>
      <c r="L46" s="481" t="s">
        <v>81</v>
      </c>
      <c r="M46" s="482"/>
      <c r="N46" s="21"/>
    </row>
    <row r="47" spans="1:14" s="8" customFormat="1" ht="41.25" customHeight="1" thickBot="1">
      <c r="A47" s="21"/>
      <c r="B47" s="477" t="s">
        <v>82</v>
      </c>
      <c r="C47" s="477"/>
      <c r="D47" s="478"/>
      <c r="E47" s="478"/>
      <c r="F47" s="21" t="s">
        <v>83</v>
      </c>
      <c r="G47" s="478"/>
      <c r="H47" s="478"/>
      <c r="I47" s="21"/>
      <c r="J47" s="21"/>
      <c r="K47" s="23" t="s">
        <v>84</v>
      </c>
      <c r="L47" s="479" t="s">
        <v>81</v>
      </c>
      <c r="M47" s="480"/>
      <c r="N47" s="21"/>
    </row>
    <row r="48" spans="1:14" s="8" customFormat="1" ht="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2" s="15" customFormat="1" ht="17"/>
    <row r="50" spans="1:2" s="15" customFormat="1" ht="17">
      <c r="A50" s="20" t="s">
        <v>61</v>
      </c>
      <c r="B50" s="24" t="s">
        <v>62</v>
      </c>
    </row>
    <row r="51" spans="1:2" s="15" customFormat="1" ht="17">
      <c r="A51" s="20"/>
      <c r="B51" s="20" t="s">
        <v>63</v>
      </c>
    </row>
    <row r="52" spans="1:2" s="15" customFormat="1" ht="17">
      <c r="A52" s="20"/>
      <c r="B52" s="20" t="s">
        <v>64</v>
      </c>
    </row>
    <row r="53" spans="1:2" s="15" customFormat="1" ht="17"/>
    <row r="54" spans="1:2" s="15" customFormat="1" ht="17">
      <c r="A54" s="20"/>
      <c r="B54" s="20"/>
    </row>
    <row r="55" spans="1:2" s="15" customFormat="1" ht="17">
      <c r="A55" s="20"/>
    </row>
    <row r="56" spans="1:2" s="15" customFormat="1" ht="17">
      <c r="A56" s="20"/>
    </row>
    <row r="57" spans="1:2" s="15" customFormat="1" ht="17">
      <c r="A57" s="20"/>
    </row>
  </sheetData>
  <sheetProtection algorithmName="SHA-512" hashValue="WI79zj3G6j9TkFZu9TF8alJBuun7Jj+y8XxxANPE8p+17qCkxU5UwtTkiKhWyc/fYVLTe7aYz+Z6JQFfP4o8iA==" saltValue="G3F7mx+pQBj4FjR7qZDsEg==" spinCount="100000" sheet="1" objects="1" scenarios="1"/>
  <mergeCells count="134">
    <mergeCell ref="A8:A12"/>
    <mergeCell ref="A13:A17"/>
    <mergeCell ref="A18:A22"/>
    <mergeCell ref="C18:C22"/>
    <mergeCell ref="D18:D22"/>
    <mergeCell ref="E18:E22"/>
    <mergeCell ref="F18:F22"/>
    <mergeCell ref="C8:C12"/>
    <mergeCell ref="D8:D12"/>
    <mergeCell ref="E8:E12"/>
    <mergeCell ref="F8:F12"/>
    <mergeCell ref="G8:G12"/>
    <mergeCell ref="H8:H12"/>
    <mergeCell ref="G28:G32"/>
    <mergeCell ref="H28:H32"/>
    <mergeCell ref="I8:I9"/>
    <mergeCell ref="A23:A27"/>
    <mergeCell ref="A43:M43"/>
    <mergeCell ref="C23:C27"/>
    <mergeCell ref="D23:D27"/>
    <mergeCell ref="E23:E27"/>
    <mergeCell ref="F23:F27"/>
    <mergeCell ref="G23:G27"/>
    <mergeCell ref="H23:H27"/>
    <mergeCell ref="I28:I29"/>
    <mergeCell ref="L32:L33"/>
    <mergeCell ref="M32:M33"/>
    <mergeCell ref="G18:G22"/>
    <mergeCell ref="H18:H22"/>
    <mergeCell ref="C13:C17"/>
    <mergeCell ref="D13:D17"/>
    <mergeCell ref="E13:E17"/>
    <mergeCell ref="F13:F17"/>
    <mergeCell ref="G13:G17"/>
    <mergeCell ref="H13:H17"/>
    <mergeCell ref="H33:H37"/>
    <mergeCell ref="B47:C47"/>
    <mergeCell ref="D47:E47"/>
    <mergeCell ref="G47:H47"/>
    <mergeCell ref="L47:M47"/>
    <mergeCell ref="B46:C46"/>
    <mergeCell ref="D46:E46"/>
    <mergeCell ref="L46:M46"/>
    <mergeCell ref="A28:A32"/>
    <mergeCell ref="A33:A37"/>
    <mergeCell ref="I34:I35"/>
    <mergeCell ref="J34:K35"/>
    <mergeCell ref="L34:L35"/>
    <mergeCell ref="M34:M35"/>
    <mergeCell ref="I36:I37"/>
    <mergeCell ref="J36:K37"/>
    <mergeCell ref="L36:L37"/>
    <mergeCell ref="M36:M37"/>
    <mergeCell ref="I30:I31"/>
    <mergeCell ref="J30:K31"/>
    <mergeCell ref="L30:L31"/>
    <mergeCell ref="M30:M31"/>
    <mergeCell ref="I32:I33"/>
    <mergeCell ref="J32:K33"/>
    <mergeCell ref="I18:I19"/>
    <mergeCell ref="J18:K19"/>
    <mergeCell ref="L18:L19"/>
    <mergeCell ref="M18:M19"/>
    <mergeCell ref="I20:I21"/>
    <mergeCell ref="J20:K21"/>
    <mergeCell ref="L20:L21"/>
    <mergeCell ref="M20:M21"/>
    <mergeCell ref="J28:K29"/>
    <mergeCell ref="L28:L29"/>
    <mergeCell ref="M28:M29"/>
    <mergeCell ref="I22:I23"/>
    <mergeCell ref="J22:K23"/>
    <mergeCell ref="L22:L23"/>
    <mergeCell ref="M22:M23"/>
    <mergeCell ref="I24:I25"/>
    <mergeCell ref="J24:K25"/>
    <mergeCell ref="I26:I27"/>
    <mergeCell ref="J26:K27"/>
    <mergeCell ref="L26:L27"/>
    <mergeCell ref="M26:M27"/>
    <mergeCell ref="J8:K9"/>
    <mergeCell ref="L8:L9"/>
    <mergeCell ref="M8:M9"/>
    <mergeCell ref="I10:I11"/>
    <mergeCell ref="J10:K11"/>
    <mergeCell ref="H38:H39"/>
    <mergeCell ref="I38:K39"/>
    <mergeCell ref="L38:L39"/>
    <mergeCell ref="L10:L11"/>
    <mergeCell ref="M10:M11"/>
    <mergeCell ref="I12:I13"/>
    <mergeCell ref="J12:K13"/>
    <mergeCell ref="L12:L13"/>
    <mergeCell ref="M12:M13"/>
    <mergeCell ref="I14:I15"/>
    <mergeCell ref="J14:K15"/>
    <mergeCell ref="L14:L15"/>
    <mergeCell ref="M14:M15"/>
    <mergeCell ref="I16:I17"/>
    <mergeCell ref="J16:K17"/>
    <mergeCell ref="L16:L17"/>
    <mergeCell ref="M16:M17"/>
    <mergeCell ref="L24:L25"/>
    <mergeCell ref="M24:M25"/>
    <mergeCell ref="A38:A39"/>
    <mergeCell ref="B38:B39"/>
    <mergeCell ref="C38:C39"/>
    <mergeCell ref="D38:D39"/>
    <mergeCell ref="E38:E39"/>
    <mergeCell ref="F38:F39"/>
    <mergeCell ref="G38:G39"/>
    <mergeCell ref="C28:C32"/>
    <mergeCell ref="D28:D32"/>
    <mergeCell ref="E28:E32"/>
    <mergeCell ref="F28:F32"/>
    <mergeCell ref="C33:C37"/>
    <mergeCell ref="D33:D37"/>
    <mergeCell ref="E33:E37"/>
    <mergeCell ref="F33:F37"/>
    <mergeCell ref="G33:G37"/>
    <mergeCell ref="I5:K6"/>
    <mergeCell ref="L5:L6"/>
    <mergeCell ref="C7:G7"/>
    <mergeCell ref="K7:M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</mergeCells>
  <phoneticPr fontId="2" type="noConversion"/>
  <conditionalFormatting sqref="B3:C3">
    <cfRule type="expression" dxfId="14" priority="2">
      <formula>LEN(부서명)=0</formula>
    </cfRule>
  </conditionalFormatting>
  <conditionalFormatting sqref="D3:L3">
    <cfRule type="containsText" dxfId="13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4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D0E1-B75D-4F49-A9BC-9CF44630AF15}">
  <dimension ref="A1:N57"/>
  <sheetViews>
    <sheetView showGridLines="0" showRowColHeaders="0" zoomScaleNormal="100" workbookViewId="0">
      <selection activeCell="P7" sqref="P7"/>
    </sheetView>
  </sheetViews>
  <sheetFormatPr defaultColWidth="9" defaultRowHeight="14"/>
  <cols>
    <col min="1" max="1" width="8.83203125" style="25" customWidth="1"/>
    <col min="2" max="8" width="14.83203125" style="25" customWidth="1"/>
    <col min="9" max="9" width="3.58203125" style="25" customWidth="1"/>
    <col min="10" max="10" width="9.58203125" style="25" customWidth="1"/>
    <col min="11" max="11" width="10.58203125" style="25" customWidth="1"/>
    <col min="12" max="13" width="14.83203125" style="25" customWidth="1"/>
    <col min="14" max="16384" width="9" style="25"/>
  </cols>
  <sheetData>
    <row r="1" spans="1:13" s="5" customFormat="1" ht="33">
      <c r="A1" s="430" t="str">
        <f>"교회 지원기관 결산서 (" &amp; 회계년도 &amp; "년 하반기)"</f>
        <v>교회 지원기관 결산서 (2023년 하반기)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13" s="5" customFormat="1" ht="6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8" customFormat="1" ht="24" customHeight="1" thickBot="1">
      <c r="A3" s="7" t="s">
        <v>76</v>
      </c>
      <c r="B3" s="431" t="str">
        <f>IF(LEN(교회명)*LEN(부서명)&gt;0,교회명&amp;" "&amp;부서명,"")</f>
        <v>대구동부교회 재정부</v>
      </c>
      <c r="C3" s="431"/>
      <c r="D3" s="432" t="str">
        <f>IF(LEN(교회명)&gt;0,IF(LEN(부서명)&gt;0,IF(COUNTIFS(회계코드!$A$51:$O$51,"관입력누락")+COUNTIFS(회계코드!$A$26:$O$26,"관입력누락")&gt;0,"(오류) 회계코드의 관 항목은 누락없이 순서대로 입력하세요",""),"[오류] 회계코드 Sheet에서 부서명을 입력하세요."),"[오류] 회계코드 Sheet에서 교회명을 입력하세요.")</f>
        <v/>
      </c>
      <c r="E3" s="432"/>
      <c r="F3" s="432"/>
      <c r="G3" s="432"/>
      <c r="H3" s="432"/>
      <c r="I3" s="432"/>
      <c r="J3" s="432"/>
      <c r="K3" s="432"/>
      <c r="L3" s="432"/>
      <c r="M3" s="9" t="s">
        <v>77</v>
      </c>
    </row>
    <row r="4" spans="1:13" s="8" customFormat="1" ht="21" customHeight="1">
      <c r="A4" s="433" t="s">
        <v>41</v>
      </c>
      <c r="B4" s="436" t="s">
        <v>42</v>
      </c>
      <c r="C4" s="437"/>
      <c r="D4" s="437"/>
      <c r="E4" s="437"/>
      <c r="F4" s="437"/>
      <c r="G4" s="437"/>
      <c r="H4" s="438"/>
      <c r="I4" s="439" t="s">
        <v>43</v>
      </c>
      <c r="J4" s="440"/>
      <c r="K4" s="440"/>
      <c r="L4" s="441"/>
      <c r="M4" s="442" t="s">
        <v>44</v>
      </c>
    </row>
    <row r="5" spans="1:13" s="8" customFormat="1" ht="21" customHeight="1">
      <c r="A5" s="434"/>
      <c r="B5" s="495" t="s">
        <v>45</v>
      </c>
      <c r="C5" s="447" t="s">
        <v>46</v>
      </c>
      <c r="D5" s="490"/>
      <c r="E5" s="490"/>
      <c r="F5" s="490"/>
      <c r="G5" s="490"/>
      <c r="H5" s="448" t="s">
        <v>47</v>
      </c>
      <c r="I5" s="419" t="s">
        <v>48</v>
      </c>
      <c r="J5" s="490"/>
      <c r="K5" s="491"/>
      <c r="L5" s="425" t="s">
        <v>49</v>
      </c>
      <c r="M5" s="443"/>
    </row>
    <row r="6" spans="1:13" s="8" customFormat="1" ht="21" customHeight="1">
      <c r="A6" s="435"/>
      <c r="B6" s="446"/>
      <c r="C6" s="10" t="s">
        <v>50</v>
      </c>
      <c r="D6" s="10" t="s">
        <v>51</v>
      </c>
      <c r="E6" s="10" t="s">
        <v>52</v>
      </c>
      <c r="F6" s="10" t="s">
        <v>53</v>
      </c>
      <c r="G6" s="11" t="s">
        <v>22</v>
      </c>
      <c r="H6" s="449"/>
      <c r="I6" s="422"/>
      <c r="J6" s="423"/>
      <c r="K6" s="424"/>
      <c r="L6" s="426"/>
      <c r="M6" s="444"/>
    </row>
    <row r="7" spans="1:13" s="8" customFormat="1" ht="33" customHeight="1">
      <c r="A7" s="84" t="s">
        <v>65</v>
      </c>
      <c r="B7" s="26">
        <f>'검산서(상반기)'!B38</f>
        <v>270000</v>
      </c>
      <c r="C7" s="26">
        <f>'검산서(상반기)'!C38</f>
        <v>0</v>
      </c>
      <c r="D7" s="26">
        <f>'검산서(상반기)'!D38</f>
        <v>0</v>
      </c>
      <c r="E7" s="26">
        <f>'검산서(상반기)'!E38</f>
        <v>0</v>
      </c>
      <c r="F7" s="26">
        <f>'검산서(상반기)'!F38</f>
        <v>0</v>
      </c>
      <c r="G7" s="26">
        <f>'검산서(상반기)'!G38</f>
        <v>0</v>
      </c>
      <c r="H7" s="26">
        <f>'검산서(상반기)'!H38</f>
        <v>270000</v>
      </c>
      <c r="I7" s="492" t="s">
        <v>66</v>
      </c>
      <c r="J7" s="493"/>
      <c r="K7" s="494"/>
      <c r="L7" s="92">
        <f>'검산서(상반기)'!L38</f>
        <v>50000</v>
      </c>
      <c r="M7" s="93"/>
    </row>
    <row r="8" spans="1:13" s="15" customFormat="1" ht="12" customHeight="1">
      <c r="A8" s="483" t="s">
        <v>70</v>
      </c>
      <c r="B8" s="501"/>
      <c r="C8" s="454">
        <f>SUMIFS(수입,항목,"교회지원금",회계월,"="&amp;LEFT(A8,LEN(A8)-1))</f>
        <v>0</v>
      </c>
      <c r="D8" s="454">
        <f>SUMIFS(수입,항목,"재배정금",회계월,"="&amp;LEFT(A8,LEN(A8)-1))</f>
        <v>0</v>
      </c>
      <c r="E8" s="454">
        <f>SUMIFS(수입,관,"헌금/회비",회계월,"="&amp;LEFT(A8,LEN(A8)-1))</f>
        <v>0</v>
      </c>
      <c r="F8" s="454">
        <f>SUMIFS(수입,회계월,"="&amp;LEFT(A8,LEN(A8)-1),회계장부!I:I,"&lt;&gt;"&amp;"전년도이월금")-SUM(C8:E12)</f>
        <v>0</v>
      </c>
      <c r="G8" s="454">
        <f>SUM(C8:F12)</f>
        <v>0</v>
      </c>
      <c r="H8" s="461">
        <f>G8</f>
        <v>0</v>
      </c>
      <c r="I8" s="464">
        <v>1</v>
      </c>
      <c r="J8" s="457" t="str">
        <f>IF(ISBLANK(회계코드!A30),"",회계코드!A30)</f>
        <v>간식/식대비</v>
      </c>
      <c r="K8" s="458"/>
      <c r="L8" s="461">
        <f t="shared" ref="L8:L34" si="0">SUMIFS(지출,관,J8,회계월,"&gt;6")</f>
        <v>0</v>
      </c>
      <c r="M8" s="463"/>
    </row>
    <row r="9" spans="1:13" s="15" customFormat="1" ht="12" customHeight="1">
      <c r="A9" s="484"/>
      <c r="B9" s="502"/>
      <c r="C9" s="455"/>
      <c r="D9" s="455"/>
      <c r="E9" s="455"/>
      <c r="F9" s="455"/>
      <c r="G9" s="455"/>
      <c r="H9" s="476"/>
      <c r="I9" s="465"/>
      <c r="J9" s="459"/>
      <c r="K9" s="460"/>
      <c r="L9" s="462"/>
      <c r="M9" s="444"/>
    </row>
    <row r="10" spans="1:13" s="15" customFormat="1" ht="12" customHeight="1">
      <c r="A10" s="484"/>
      <c r="B10" s="502"/>
      <c r="C10" s="455"/>
      <c r="D10" s="455"/>
      <c r="E10" s="455"/>
      <c r="F10" s="455"/>
      <c r="G10" s="455"/>
      <c r="H10" s="476"/>
      <c r="I10" s="464">
        <v>2</v>
      </c>
      <c r="J10" s="457" t="str">
        <f>IF(ISBLANK(회계코드!B30),"",회계코드!B30)</f>
        <v>시상/선물</v>
      </c>
      <c r="K10" s="458"/>
      <c r="L10" s="461">
        <f t="shared" si="0"/>
        <v>0</v>
      </c>
      <c r="M10" s="463"/>
    </row>
    <row r="11" spans="1:13" s="15" customFormat="1" ht="12" customHeight="1">
      <c r="A11" s="484"/>
      <c r="B11" s="502"/>
      <c r="C11" s="455"/>
      <c r="D11" s="455"/>
      <c r="E11" s="455"/>
      <c r="F11" s="455"/>
      <c r="G11" s="455"/>
      <c r="H11" s="476"/>
      <c r="I11" s="465"/>
      <c r="J11" s="459"/>
      <c r="K11" s="460"/>
      <c r="L11" s="462"/>
      <c r="M11" s="444"/>
    </row>
    <row r="12" spans="1:13" s="15" customFormat="1" ht="12" customHeight="1">
      <c r="A12" s="484"/>
      <c r="B12" s="502"/>
      <c r="C12" s="455"/>
      <c r="D12" s="455"/>
      <c r="E12" s="455"/>
      <c r="F12" s="455"/>
      <c r="G12" s="455"/>
      <c r="H12" s="476"/>
      <c r="I12" s="464">
        <v>3</v>
      </c>
      <c r="J12" s="457" t="str">
        <f>IF(ISBLANK(회계코드!C30),"",회계코드!C30)</f>
        <v>심방비</v>
      </c>
      <c r="K12" s="458"/>
      <c r="L12" s="461">
        <f t="shared" si="0"/>
        <v>0</v>
      </c>
      <c r="M12" s="463"/>
    </row>
    <row r="13" spans="1:13" s="15" customFormat="1" ht="12" customHeight="1">
      <c r="A13" s="483" t="s">
        <v>71</v>
      </c>
      <c r="B13" s="502"/>
      <c r="C13" s="454">
        <f>SUMIFS(수입,항목,"교회지원금",회계월,"="&amp;LEFT(A13,LEN(A13)-1))</f>
        <v>0</v>
      </c>
      <c r="D13" s="454">
        <f>SUMIFS(수입,항목,"재배정금",회계월,"="&amp;LEFT(A13,LEN(A13)-1))</f>
        <v>0</v>
      </c>
      <c r="E13" s="454">
        <f>SUMIFS(수입,관,"헌금/회비",회계월,"="&amp;LEFT(A13,LEN(A13)-1))</f>
        <v>0</v>
      </c>
      <c r="F13" s="454">
        <f>SUMIFS(수입,회계월,"="&amp;LEFT(A13,LEN(A13)-1),회계장부!I:I,"&lt;&gt;"&amp;"전년도이월금")-SUM(C13:E17)</f>
        <v>0</v>
      </c>
      <c r="G13" s="454">
        <f t="shared" ref="G13" si="1">SUM(C13:F17)</f>
        <v>0</v>
      </c>
      <c r="H13" s="461">
        <f t="shared" ref="H13" si="2">G13</f>
        <v>0</v>
      </c>
      <c r="I13" s="465"/>
      <c r="J13" s="459"/>
      <c r="K13" s="460"/>
      <c r="L13" s="462"/>
      <c r="M13" s="444"/>
    </row>
    <row r="14" spans="1:13" s="15" customFormat="1" ht="12" customHeight="1">
      <c r="A14" s="484"/>
      <c r="B14" s="502"/>
      <c r="C14" s="455"/>
      <c r="D14" s="455"/>
      <c r="E14" s="455"/>
      <c r="F14" s="455"/>
      <c r="G14" s="455"/>
      <c r="H14" s="476"/>
      <c r="I14" s="464">
        <v>4</v>
      </c>
      <c r="J14" s="457" t="str">
        <f>IF(ISBLANK(회계코드!D30),"",회계코드!D30)</f>
        <v>특강/도서구입비</v>
      </c>
      <c r="K14" s="458"/>
      <c r="L14" s="461">
        <f t="shared" si="0"/>
        <v>0</v>
      </c>
      <c r="M14" s="463"/>
    </row>
    <row r="15" spans="1:13" s="15" customFormat="1" ht="12" customHeight="1">
      <c r="A15" s="484"/>
      <c r="B15" s="502"/>
      <c r="C15" s="455"/>
      <c r="D15" s="455"/>
      <c r="E15" s="455"/>
      <c r="F15" s="455"/>
      <c r="G15" s="455"/>
      <c r="H15" s="476"/>
      <c r="I15" s="465"/>
      <c r="J15" s="459"/>
      <c r="K15" s="460"/>
      <c r="L15" s="462"/>
      <c r="M15" s="444"/>
    </row>
    <row r="16" spans="1:13" s="15" customFormat="1" ht="12" customHeight="1">
      <c r="A16" s="484"/>
      <c r="B16" s="502"/>
      <c r="C16" s="455"/>
      <c r="D16" s="455"/>
      <c r="E16" s="455"/>
      <c r="F16" s="455"/>
      <c r="G16" s="455"/>
      <c r="H16" s="476"/>
      <c r="I16" s="464">
        <v>5</v>
      </c>
      <c r="J16" s="457" t="str">
        <f>IF(ISBLANK(회계코드!E30),"",회계코드!E30)</f>
        <v>요람/현수막제작비</v>
      </c>
      <c r="K16" s="458"/>
      <c r="L16" s="461">
        <f t="shared" si="0"/>
        <v>0</v>
      </c>
      <c r="M16" s="463"/>
    </row>
    <row r="17" spans="1:13" s="15" customFormat="1" ht="12" customHeight="1">
      <c r="A17" s="484"/>
      <c r="B17" s="502"/>
      <c r="C17" s="455"/>
      <c r="D17" s="455"/>
      <c r="E17" s="455"/>
      <c r="F17" s="455"/>
      <c r="G17" s="455"/>
      <c r="H17" s="476"/>
      <c r="I17" s="465"/>
      <c r="J17" s="459"/>
      <c r="K17" s="460"/>
      <c r="L17" s="462"/>
      <c r="M17" s="444"/>
    </row>
    <row r="18" spans="1:13" s="15" customFormat="1" ht="12" customHeight="1">
      <c r="A18" s="483" t="s">
        <v>72</v>
      </c>
      <c r="B18" s="502"/>
      <c r="C18" s="454">
        <f>SUMIFS(수입,항목,"교회지원금",회계월,"="&amp;LEFT(A18,LEN(A18)-1))</f>
        <v>0</v>
      </c>
      <c r="D18" s="454">
        <f>SUMIFS(수입,항목,"재배정금",회계월,"="&amp;LEFT(A18,LEN(A18)-1))</f>
        <v>0</v>
      </c>
      <c r="E18" s="454">
        <f>SUMIFS(수입,관,"헌금/회비",회계월,"="&amp;LEFT(A18,LEN(A18)-1))</f>
        <v>0</v>
      </c>
      <c r="F18" s="454">
        <f>SUMIFS(수입,회계월,"="&amp;LEFT(A18,LEN(A18)-1),회계장부!I:I,"&lt;&gt;"&amp;"전년도이월금")-SUM(C18:E22)</f>
        <v>0</v>
      </c>
      <c r="G18" s="454">
        <f t="shared" ref="G18" si="3">SUM(C18:F22)</f>
        <v>0</v>
      </c>
      <c r="H18" s="461">
        <f t="shared" ref="H18" si="4">G18</f>
        <v>0</v>
      </c>
      <c r="I18" s="464">
        <v>6</v>
      </c>
      <c r="J18" s="457" t="str">
        <f>IF(ISBLANK(회계코드!F30),"",회계코드!F30)</f>
        <v>수련회</v>
      </c>
      <c r="K18" s="458"/>
      <c r="L18" s="461">
        <f t="shared" si="0"/>
        <v>0</v>
      </c>
      <c r="M18" s="463"/>
    </row>
    <row r="19" spans="1:13" s="15" customFormat="1" ht="12" customHeight="1">
      <c r="A19" s="484"/>
      <c r="B19" s="502"/>
      <c r="C19" s="455"/>
      <c r="D19" s="455"/>
      <c r="E19" s="455"/>
      <c r="F19" s="455"/>
      <c r="G19" s="455"/>
      <c r="H19" s="476"/>
      <c r="I19" s="465"/>
      <c r="J19" s="459"/>
      <c r="K19" s="460"/>
      <c r="L19" s="462"/>
      <c r="M19" s="444"/>
    </row>
    <row r="20" spans="1:13" s="15" customFormat="1" ht="12" customHeight="1">
      <c r="A20" s="484"/>
      <c r="B20" s="502"/>
      <c r="C20" s="455"/>
      <c r="D20" s="455"/>
      <c r="E20" s="455"/>
      <c r="F20" s="455"/>
      <c r="G20" s="455"/>
      <c r="H20" s="476"/>
      <c r="I20" s="464">
        <v>7</v>
      </c>
      <c r="J20" s="457" t="str">
        <f>IF(ISBLANK(회계코드!G30),"",회계코드!G30)</f>
        <v>기타지출</v>
      </c>
      <c r="K20" s="458"/>
      <c r="L20" s="461">
        <f t="shared" si="0"/>
        <v>0</v>
      </c>
      <c r="M20" s="463"/>
    </row>
    <row r="21" spans="1:13" s="15" customFormat="1" ht="12" customHeight="1">
      <c r="A21" s="484"/>
      <c r="B21" s="502"/>
      <c r="C21" s="455"/>
      <c r="D21" s="455"/>
      <c r="E21" s="455"/>
      <c r="F21" s="455"/>
      <c r="G21" s="455"/>
      <c r="H21" s="476"/>
      <c r="I21" s="465"/>
      <c r="J21" s="459"/>
      <c r="K21" s="460"/>
      <c r="L21" s="462"/>
      <c r="M21" s="444"/>
    </row>
    <row r="22" spans="1:13" s="15" customFormat="1" ht="12" customHeight="1">
      <c r="A22" s="484"/>
      <c r="B22" s="502"/>
      <c r="C22" s="455"/>
      <c r="D22" s="455"/>
      <c r="E22" s="455"/>
      <c r="F22" s="455"/>
      <c r="G22" s="455"/>
      <c r="H22" s="476"/>
      <c r="I22" s="464">
        <v>8</v>
      </c>
      <c r="J22" s="457" t="str">
        <f>IF(ISBLANK(회계코드!H30),"",회계코드!H30)</f>
        <v/>
      </c>
      <c r="K22" s="458"/>
      <c r="L22" s="461">
        <f t="shared" si="0"/>
        <v>0</v>
      </c>
      <c r="M22" s="463"/>
    </row>
    <row r="23" spans="1:13" s="15" customFormat="1" ht="12" customHeight="1">
      <c r="A23" s="483" t="s">
        <v>73</v>
      </c>
      <c r="B23" s="502"/>
      <c r="C23" s="454">
        <f>SUMIFS(수입,항목,"교회지원금",회계월,"="&amp;LEFT(A23,LEN(A23)-1))</f>
        <v>0</v>
      </c>
      <c r="D23" s="454">
        <f>SUMIFS(수입,항목,"재배정금",회계월,"="&amp;LEFT(A23,LEN(A23)-1))</f>
        <v>0</v>
      </c>
      <c r="E23" s="454">
        <f>SUMIFS(수입,관,"헌금/회비",회계월,"="&amp;LEFT(A23,LEN(A23)-1))</f>
        <v>0</v>
      </c>
      <c r="F23" s="454">
        <f>SUMIFS(수입,회계월,"="&amp;LEFT(A23,LEN(A23)-1),회계장부!I:I,"&lt;&gt;"&amp;"전년도이월금")-SUM(C23:E27)</f>
        <v>0</v>
      </c>
      <c r="G23" s="454">
        <f t="shared" ref="G23" si="5">SUM(C23:F27)</f>
        <v>0</v>
      </c>
      <c r="H23" s="461">
        <f t="shared" ref="H23" si="6">G23</f>
        <v>0</v>
      </c>
      <c r="I23" s="465"/>
      <c r="J23" s="459"/>
      <c r="K23" s="460"/>
      <c r="L23" s="462"/>
      <c r="M23" s="444"/>
    </row>
    <row r="24" spans="1:13" s="15" customFormat="1" ht="12" customHeight="1">
      <c r="A24" s="484"/>
      <c r="B24" s="502"/>
      <c r="C24" s="455"/>
      <c r="D24" s="455"/>
      <c r="E24" s="455"/>
      <c r="F24" s="455"/>
      <c r="G24" s="455"/>
      <c r="H24" s="476"/>
      <c r="I24" s="464">
        <v>9</v>
      </c>
      <c r="J24" s="457" t="str">
        <f>IF(ISBLANK(회계코드!I30),"",회계코드!I30)</f>
        <v/>
      </c>
      <c r="K24" s="458"/>
      <c r="L24" s="461">
        <f t="shared" si="0"/>
        <v>0</v>
      </c>
      <c r="M24" s="463"/>
    </row>
    <row r="25" spans="1:13" s="15" customFormat="1" ht="12" customHeight="1">
      <c r="A25" s="484"/>
      <c r="B25" s="502"/>
      <c r="C25" s="455"/>
      <c r="D25" s="455"/>
      <c r="E25" s="455"/>
      <c r="F25" s="455"/>
      <c r="G25" s="455"/>
      <c r="H25" s="476"/>
      <c r="I25" s="465"/>
      <c r="J25" s="459"/>
      <c r="K25" s="460"/>
      <c r="L25" s="462"/>
      <c r="M25" s="444"/>
    </row>
    <row r="26" spans="1:13" s="15" customFormat="1" ht="12" customHeight="1">
      <c r="A26" s="484"/>
      <c r="B26" s="502"/>
      <c r="C26" s="455"/>
      <c r="D26" s="455"/>
      <c r="E26" s="455"/>
      <c r="F26" s="455"/>
      <c r="G26" s="455"/>
      <c r="H26" s="476"/>
      <c r="I26" s="464">
        <v>10</v>
      </c>
      <c r="J26" s="457" t="str">
        <f>IF(ISBLANK(회계코드!J30),"",회계코드!J30)</f>
        <v/>
      </c>
      <c r="K26" s="458"/>
      <c r="L26" s="461">
        <f t="shared" si="0"/>
        <v>0</v>
      </c>
      <c r="M26" s="463"/>
    </row>
    <row r="27" spans="1:13" s="15" customFormat="1" ht="12" customHeight="1">
      <c r="A27" s="484"/>
      <c r="B27" s="502"/>
      <c r="C27" s="455"/>
      <c r="D27" s="455"/>
      <c r="E27" s="455"/>
      <c r="F27" s="455"/>
      <c r="G27" s="455"/>
      <c r="H27" s="476"/>
      <c r="I27" s="465"/>
      <c r="J27" s="459"/>
      <c r="K27" s="460"/>
      <c r="L27" s="462"/>
      <c r="M27" s="444"/>
    </row>
    <row r="28" spans="1:13" s="15" customFormat="1" ht="12" customHeight="1">
      <c r="A28" s="483" t="s">
        <v>74</v>
      </c>
      <c r="B28" s="502"/>
      <c r="C28" s="454">
        <f>SUMIFS(수입,항목,"교회지원금",회계월,"="&amp;LEFT(A28,LEN(A28)-1))</f>
        <v>0</v>
      </c>
      <c r="D28" s="454">
        <f>SUMIFS(수입,항목,"재배정금",회계월,"="&amp;LEFT(A28,LEN(A28)-1))</f>
        <v>0</v>
      </c>
      <c r="E28" s="454">
        <f>SUMIFS(수입,관,"헌금/회비",회계월,"="&amp;LEFT(A28,LEN(A28)-1))</f>
        <v>0</v>
      </c>
      <c r="F28" s="454">
        <f>SUMIFS(수입,회계월,"="&amp;LEFT(A28,LEN(A28)-1),회계장부!I:I,"&lt;&gt;"&amp;"전년도이월금")-SUM(C28:E32)</f>
        <v>0</v>
      </c>
      <c r="G28" s="454">
        <f t="shared" ref="G28" si="7">SUM(C28:F32)</f>
        <v>0</v>
      </c>
      <c r="H28" s="461">
        <f t="shared" ref="H28" si="8">G28</f>
        <v>0</v>
      </c>
      <c r="I28" s="464">
        <v>11</v>
      </c>
      <c r="J28" s="457" t="str">
        <f>IF(ISBLANK(회계코드!K30),"",회계코드!K30)</f>
        <v/>
      </c>
      <c r="K28" s="458"/>
      <c r="L28" s="461">
        <f t="shared" si="0"/>
        <v>0</v>
      </c>
      <c r="M28" s="463"/>
    </row>
    <row r="29" spans="1:13" s="15" customFormat="1" ht="12" customHeight="1">
      <c r="A29" s="484"/>
      <c r="B29" s="502"/>
      <c r="C29" s="455"/>
      <c r="D29" s="455"/>
      <c r="E29" s="455"/>
      <c r="F29" s="455"/>
      <c r="G29" s="455"/>
      <c r="H29" s="476"/>
      <c r="I29" s="465"/>
      <c r="J29" s="459"/>
      <c r="K29" s="460"/>
      <c r="L29" s="462"/>
      <c r="M29" s="444"/>
    </row>
    <row r="30" spans="1:13" s="15" customFormat="1" ht="12" customHeight="1">
      <c r="A30" s="484"/>
      <c r="B30" s="502"/>
      <c r="C30" s="455"/>
      <c r="D30" s="455"/>
      <c r="E30" s="455"/>
      <c r="F30" s="455"/>
      <c r="G30" s="455"/>
      <c r="H30" s="476"/>
      <c r="I30" s="464">
        <v>12</v>
      </c>
      <c r="J30" s="457" t="str">
        <f>IF(ISBLANK(회계코드!L30),"",회계코드!L30)</f>
        <v/>
      </c>
      <c r="K30" s="458"/>
      <c r="L30" s="461">
        <f t="shared" si="0"/>
        <v>0</v>
      </c>
      <c r="M30" s="463"/>
    </row>
    <row r="31" spans="1:13" s="15" customFormat="1" ht="12" customHeight="1">
      <c r="A31" s="484"/>
      <c r="B31" s="502"/>
      <c r="C31" s="455"/>
      <c r="D31" s="455"/>
      <c r="E31" s="455"/>
      <c r="F31" s="455"/>
      <c r="G31" s="455"/>
      <c r="H31" s="476"/>
      <c r="I31" s="465"/>
      <c r="J31" s="459"/>
      <c r="K31" s="460"/>
      <c r="L31" s="462"/>
      <c r="M31" s="444"/>
    </row>
    <row r="32" spans="1:13" s="15" customFormat="1" ht="12" customHeight="1">
      <c r="A32" s="484"/>
      <c r="B32" s="502"/>
      <c r="C32" s="455"/>
      <c r="D32" s="455"/>
      <c r="E32" s="455"/>
      <c r="F32" s="455"/>
      <c r="G32" s="455"/>
      <c r="H32" s="476"/>
      <c r="I32" s="464">
        <v>13</v>
      </c>
      <c r="J32" s="457" t="str">
        <f>IF(ISBLANK(회계코드!M30),"",회계코드!M30)</f>
        <v/>
      </c>
      <c r="K32" s="458"/>
      <c r="L32" s="461">
        <f t="shared" si="0"/>
        <v>0</v>
      </c>
      <c r="M32" s="463"/>
    </row>
    <row r="33" spans="1:14" s="15" customFormat="1" ht="12" customHeight="1">
      <c r="A33" s="483" t="s">
        <v>75</v>
      </c>
      <c r="B33" s="502"/>
      <c r="C33" s="454">
        <f>SUMIFS(수입,항목,"교회지원금",회계월,"="&amp;LEFT(A33,LEN(A33)-1))</f>
        <v>0</v>
      </c>
      <c r="D33" s="454">
        <f>SUMIFS(수입,항목,"재배정금",회계월,"="&amp;LEFT(A33,LEN(A33)-1))</f>
        <v>0</v>
      </c>
      <c r="E33" s="454">
        <f>SUMIFS(수입,관,"헌금/회비",회계월,"="&amp;LEFT(A33,LEN(A33)-1))</f>
        <v>0</v>
      </c>
      <c r="F33" s="454">
        <f>SUMIFS(수입,회계월,"="&amp;LEFT(A33,LEN(A33)-1),회계장부!I:I,"&lt;&gt;"&amp;"전년도이월금")-SUM(C33:E37)</f>
        <v>0</v>
      </c>
      <c r="G33" s="454">
        <f t="shared" ref="G33" si="9">SUM(C33:F37)</f>
        <v>0</v>
      </c>
      <c r="H33" s="461">
        <f t="shared" ref="H33" si="10">G33</f>
        <v>0</v>
      </c>
      <c r="I33" s="465"/>
      <c r="J33" s="459"/>
      <c r="K33" s="460"/>
      <c r="L33" s="462"/>
      <c r="M33" s="444"/>
    </row>
    <row r="34" spans="1:14" s="15" customFormat="1" ht="12" customHeight="1">
      <c r="A34" s="484"/>
      <c r="B34" s="502"/>
      <c r="C34" s="455"/>
      <c r="D34" s="455"/>
      <c r="E34" s="455"/>
      <c r="F34" s="455"/>
      <c r="G34" s="455"/>
      <c r="H34" s="476"/>
      <c r="I34" s="464">
        <v>14</v>
      </c>
      <c r="J34" s="457" t="str">
        <f>IF(ISBLANK(회계코드!N30),"",회계코드!N30)</f>
        <v/>
      </c>
      <c r="K34" s="458"/>
      <c r="L34" s="461">
        <f t="shared" si="0"/>
        <v>0</v>
      </c>
      <c r="M34" s="463"/>
    </row>
    <row r="35" spans="1:14" s="15" customFormat="1" ht="12" customHeight="1">
      <c r="A35" s="484"/>
      <c r="B35" s="502"/>
      <c r="C35" s="455"/>
      <c r="D35" s="455"/>
      <c r="E35" s="455"/>
      <c r="F35" s="455"/>
      <c r="G35" s="455"/>
      <c r="H35" s="476"/>
      <c r="I35" s="465"/>
      <c r="J35" s="459"/>
      <c r="K35" s="460"/>
      <c r="L35" s="462"/>
      <c r="M35" s="444"/>
    </row>
    <row r="36" spans="1:14" s="15" customFormat="1" ht="12" customHeight="1">
      <c r="A36" s="484"/>
      <c r="B36" s="502"/>
      <c r="C36" s="455"/>
      <c r="D36" s="455"/>
      <c r="E36" s="455"/>
      <c r="F36" s="455"/>
      <c r="G36" s="455"/>
      <c r="H36" s="476"/>
      <c r="I36" s="464">
        <v>15</v>
      </c>
      <c r="J36" s="457" t="str">
        <f>IF(ISBLANK(회계코드!O30),"",회계코드!O30)</f>
        <v/>
      </c>
      <c r="K36" s="458"/>
      <c r="L36" s="461">
        <f>SUMIFS(지출,관,J36,회계월,"&gt;6")</f>
        <v>0</v>
      </c>
      <c r="M36" s="16"/>
    </row>
    <row r="37" spans="1:14" s="15" customFormat="1" ht="12" customHeight="1" thickBot="1">
      <c r="A37" s="484"/>
      <c r="B37" s="503"/>
      <c r="C37" s="455"/>
      <c r="D37" s="455"/>
      <c r="E37" s="455"/>
      <c r="F37" s="455"/>
      <c r="G37" s="455"/>
      <c r="H37" s="476"/>
      <c r="I37" s="465"/>
      <c r="J37" s="459"/>
      <c r="K37" s="460"/>
      <c r="L37" s="462"/>
      <c r="M37" s="86"/>
    </row>
    <row r="38" spans="1:14" s="15" customFormat="1" ht="24.75" customHeight="1" thickBot="1">
      <c r="A38" s="27" t="s">
        <v>67</v>
      </c>
      <c r="B38" s="28"/>
      <c r="C38" s="29">
        <f t="shared" ref="C38:H38" si="11">SUM(C8:C36)</f>
        <v>0</v>
      </c>
      <c r="D38" s="29">
        <f t="shared" si="11"/>
        <v>0</v>
      </c>
      <c r="E38" s="29">
        <f t="shared" si="11"/>
        <v>0</v>
      </c>
      <c r="F38" s="29">
        <f t="shared" si="11"/>
        <v>0</v>
      </c>
      <c r="G38" s="30">
        <f t="shared" si="11"/>
        <v>0</v>
      </c>
      <c r="H38" s="31">
        <f t="shared" si="11"/>
        <v>0</v>
      </c>
      <c r="I38" s="496" t="s">
        <v>68</v>
      </c>
      <c r="J38" s="497"/>
      <c r="K38" s="498"/>
      <c r="L38" s="30">
        <f>SUM(L8:L36)</f>
        <v>0</v>
      </c>
      <c r="M38" s="17" t="s">
        <v>58</v>
      </c>
    </row>
    <row r="39" spans="1:14" s="15" customFormat="1" ht="24.75" customHeight="1" thickBot="1">
      <c r="A39" s="85" t="s">
        <v>69</v>
      </c>
      <c r="B39" s="32">
        <f>B7</f>
        <v>270000</v>
      </c>
      <c r="C39" s="32">
        <f t="shared" ref="C39:H39" si="12">C7+C38</f>
        <v>0</v>
      </c>
      <c r="D39" s="32">
        <f t="shared" si="12"/>
        <v>0</v>
      </c>
      <c r="E39" s="32">
        <f t="shared" si="12"/>
        <v>0</v>
      </c>
      <c r="F39" s="32">
        <f t="shared" si="12"/>
        <v>0</v>
      </c>
      <c r="G39" s="32">
        <f t="shared" si="12"/>
        <v>0</v>
      </c>
      <c r="H39" s="32">
        <f t="shared" si="12"/>
        <v>270000</v>
      </c>
      <c r="I39" s="499" t="s">
        <v>69</v>
      </c>
      <c r="J39" s="500"/>
      <c r="K39" s="472"/>
      <c r="L39" s="33">
        <f>L7+L38</f>
        <v>50000</v>
      </c>
      <c r="M39" s="34">
        <f>H39-L39</f>
        <v>220000</v>
      </c>
    </row>
    <row r="40" spans="1:14" s="15" customFormat="1" ht="6" customHeight="1">
      <c r="M40" s="19"/>
    </row>
    <row r="41" spans="1:14" s="15" customFormat="1" ht="17">
      <c r="A41" s="168" t="s">
        <v>59</v>
      </c>
      <c r="B41" s="168" t="s">
        <v>60</v>
      </c>
      <c r="C41" s="169"/>
      <c r="D41" s="168"/>
      <c r="E41" s="168"/>
      <c r="F41" s="168"/>
      <c r="G41" s="168"/>
      <c r="H41" s="169"/>
      <c r="I41" s="169"/>
      <c r="J41" s="169"/>
      <c r="K41" s="169"/>
      <c r="L41" s="169"/>
      <c r="M41" s="170"/>
    </row>
    <row r="42" spans="1:14" s="20" customFormat="1" ht="14.25" customHeight="1"/>
    <row r="43" spans="1:14" s="20" customFormat="1" ht="17" customHeight="1">
      <c r="A43" s="486" t="s">
        <v>78</v>
      </c>
      <c r="B43" s="486"/>
      <c r="C43" s="486"/>
      <c r="D43" s="486"/>
      <c r="E43" s="486"/>
      <c r="F43" s="486"/>
      <c r="G43" s="486"/>
      <c r="H43" s="486"/>
      <c r="I43" s="486"/>
      <c r="J43" s="486"/>
      <c r="K43" s="486"/>
      <c r="L43" s="486"/>
      <c r="M43" s="486"/>
    </row>
    <row r="44" spans="1:14" s="20" customFormat="1" ht="17.5">
      <c r="B44" s="94"/>
      <c r="C44" s="95"/>
      <c r="F44" s="171" t="str">
        <f>회계년도&amp;"년"</f>
        <v>2023년</v>
      </c>
      <c r="G44" s="172">
        <v>44561</v>
      </c>
    </row>
    <row r="45" spans="1:14" s="8" customFormat="1" ht="16.5" customHeight="1" thickBot="1"/>
    <row r="46" spans="1:14" s="8" customFormat="1" ht="41.25" customHeight="1" thickBot="1">
      <c r="B46" s="477" t="str">
        <f>'검산서(상반기)'!B46</f>
        <v>부장 :</v>
      </c>
      <c r="C46" s="477"/>
      <c r="D46" s="478"/>
      <c r="E46" s="478"/>
      <c r="F46" s="21" t="s">
        <v>79</v>
      </c>
      <c r="G46" s="21"/>
      <c r="H46" s="21"/>
      <c r="I46" s="21"/>
      <c r="J46" s="21"/>
      <c r="K46" s="22" t="s">
        <v>80</v>
      </c>
      <c r="L46" s="481" t="s">
        <v>81</v>
      </c>
      <c r="M46" s="482"/>
      <c r="N46" s="21"/>
    </row>
    <row r="47" spans="1:14" s="8" customFormat="1" ht="41.25" customHeight="1" thickBot="1">
      <c r="A47" s="21"/>
      <c r="B47" s="477" t="s">
        <v>82</v>
      </c>
      <c r="C47" s="477"/>
      <c r="D47" s="478"/>
      <c r="E47" s="478"/>
      <c r="F47" s="21" t="s">
        <v>83</v>
      </c>
      <c r="G47" s="478" t="s">
        <v>129</v>
      </c>
      <c r="H47" s="478"/>
      <c r="I47" s="21"/>
      <c r="J47" s="21"/>
      <c r="K47" s="23" t="s">
        <v>84</v>
      </c>
      <c r="L47" s="479" t="s">
        <v>81</v>
      </c>
      <c r="M47" s="480"/>
      <c r="N47" s="21"/>
    </row>
    <row r="48" spans="1:14" s="8" customFormat="1" ht="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2" s="15" customFormat="1" ht="17"/>
    <row r="50" spans="1:2" s="15" customFormat="1" ht="17">
      <c r="A50" s="20" t="s">
        <v>61</v>
      </c>
      <c r="B50" s="24" t="s">
        <v>62</v>
      </c>
    </row>
    <row r="51" spans="1:2" s="15" customFormat="1" ht="17">
      <c r="A51" s="20"/>
      <c r="B51" s="20" t="s">
        <v>63</v>
      </c>
    </row>
    <row r="52" spans="1:2" s="15" customFormat="1" ht="17">
      <c r="A52" s="20"/>
      <c r="B52" s="20" t="s">
        <v>64</v>
      </c>
    </row>
    <row r="53" spans="1:2" s="15" customFormat="1" ht="17"/>
    <row r="54" spans="1:2" s="15" customFormat="1" ht="17">
      <c r="A54" s="20"/>
      <c r="B54" s="20"/>
    </row>
    <row r="55" spans="1:2" s="15" customFormat="1" ht="17">
      <c r="A55" s="20"/>
    </row>
    <row r="56" spans="1:2" s="15" customFormat="1" ht="17">
      <c r="A56" s="20"/>
    </row>
    <row r="57" spans="1:2" s="15" customFormat="1" ht="17">
      <c r="A57" s="20"/>
    </row>
  </sheetData>
  <sheetProtection algorithmName="SHA-512" hashValue="dpXBhhZr9OT9xBXgqs5hYXOn3CDipnGmw7ErlJj1YrT9zxCkYhPvjBhDC/BeLLn0e9yAlmVjpwlN9CkQfxNhAg==" saltValue="dycHrORl3SKwIm8Obl2CXQ==" spinCount="100000" sheet="1" objects="1" scenarios="1"/>
  <mergeCells count="125">
    <mergeCell ref="M8:M9"/>
    <mergeCell ref="M10:M11"/>
    <mergeCell ref="M12:M13"/>
    <mergeCell ref="M14:M15"/>
    <mergeCell ref="D28:D32"/>
    <mergeCell ref="E28:E32"/>
    <mergeCell ref="F28:F32"/>
    <mergeCell ref="G28:G32"/>
    <mergeCell ref="H28:H32"/>
    <mergeCell ref="H18:H22"/>
    <mergeCell ref="I32:I33"/>
    <mergeCell ref="J32:K33"/>
    <mergeCell ref="L32:L33"/>
    <mergeCell ref="J26:K27"/>
    <mergeCell ref="L26:L27"/>
    <mergeCell ref="M28:M29"/>
    <mergeCell ref="L22:L23"/>
    <mergeCell ref="G23:G27"/>
    <mergeCell ref="H23:H27"/>
    <mergeCell ref="E33:E37"/>
    <mergeCell ref="F33:F37"/>
    <mergeCell ref="G33:G37"/>
    <mergeCell ref="H33:H37"/>
    <mergeCell ref="L36:L37"/>
    <mergeCell ref="I34:I35"/>
    <mergeCell ref="J16:K17"/>
    <mergeCell ref="A8:A12"/>
    <mergeCell ref="C8:C12"/>
    <mergeCell ref="D8:D12"/>
    <mergeCell ref="E8:E12"/>
    <mergeCell ref="F8:F12"/>
    <mergeCell ref="G8:G12"/>
    <mergeCell ref="H8:H12"/>
    <mergeCell ref="I8:I9"/>
    <mergeCell ref="J8:K9"/>
    <mergeCell ref="A13:A17"/>
    <mergeCell ref="C13:C17"/>
    <mergeCell ref="D13:D17"/>
    <mergeCell ref="E13:E17"/>
    <mergeCell ref="B8:B37"/>
    <mergeCell ref="A23:A27"/>
    <mergeCell ref="A28:A32"/>
    <mergeCell ref="H13:H17"/>
    <mergeCell ref="I28:I29"/>
    <mergeCell ref="J28:K29"/>
    <mergeCell ref="A43:M43"/>
    <mergeCell ref="M30:M31"/>
    <mergeCell ref="M32:M33"/>
    <mergeCell ref="M34:M35"/>
    <mergeCell ref="M18:M19"/>
    <mergeCell ref="M20:M21"/>
    <mergeCell ref="M22:M23"/>
    <mergeCell ref="M24:M25"/>
    <mergeCell ref="M26:M27"/>
    <mergeCell ref="J34:K35"/>
    <mergeCell ref="L34:L35"/>
    <mergeCell ref="A18:A22"/>
    <mergeCell ref="C18:C22"/>
    <mergeCell ref="A33:A37"/>
    <mergeCell ref="C23:C27"/>
    <mergeCell ref="D23:D27"/>
    <mergeCell ref="E23:E27"/>
    <mergeCell ref="I30:I31"/>
    <mergeCell ref="J30:K31"/>
    <mergeCell ref="L30:L31"/>
    <mergeCell ref="I24:I25"/>
    <mergeCell ref="J24:K25"/>
    <mergeCell ref="L24:L25"/>
    <mergeCell ref="I26:I27"/>
    <mergeCell ref="M16:M17"/>
    <mergeCell ref="B47:C47"/>
    <mergeCell ref="D47:E47"/>
    <mergeCell ref="G47:H47"/>
    <mergeCell ref="L47:M47"/>
    <mergeCell ref="I38:K38"/>
    <mergeCell ref="I39:K39"/>
    <mergeCell ref="B46:C46"/>
    <mergeCell ref="D46:E46"/>
    <mergeCell ref="I36:I37"/>
    <mergeCell ref="J36:K37"/>
    <mergeCell ref="C33:C37"/>
    <mergeCell ref="D33:D37"/>
    <mergeCell ref="D18:D22"/>
    <mergeCell ref="E18:E22"/>
    <mergeCell ref="F18:F22"/>
    <mergeCell ref="G18:G22"/>
    <mergeCell ref="F13:F17"/>
    <mergeCell ref="G13:G17"/>
    <mergeCell ref="C28:C32"/>
    <mergeCell ref="L46:M46"/>
    <mergeCell ref="L16:L17"/>
    <mergeCell ref="I18:I19"/>
    <mergeCell ref="J18:K19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L8:L9"/>
    <mergeCell ref="I10:I11"/>
    <mergeCell ref="J10:K11"/>
    <mergeCell ref="L10:L11"/>
    <mergeCell ref="I12:I13"/>
    <mergeCell ref="J12:K13"/>
    <mergeCell ref="F23:F27"/>
    <mergeCell ref="L18:L19"/>
    <mergeCell ref="I5:K6"/>
    <mergeCell ref="L5:L6"/>
    <mergeCell ref="I7:K7"/>
    <mergeCell ref="L28:L29"/>
    <mergeCell ref="I14:I15"/>
    <mergeCell ref="J14:K15"/>
    <mergeCell ref="I20:I21"/>
    <mergeCell ref="J20:K21"/>
    <mergeCell ref="L20:L21"/>
    <mergeCell ref="I22:I23"/>
    <mergeCell ref="J22:K23"/>
    <mergeCell ref="L12:L13"/>
    <mergeCell ref="I16:I17"/>
    <mergeCell ref="L14:L15"/>
  </mergeCells>
  <phoneticPr fontId="2" type="noConversion"/>
  <conditionalFormatting sqref="B3:C3">
    <cfRule type="expression" dxfId="12" priority="2">
      <formula>LEN(부서명)=0</formula>
    </cfRule>
  </conditionalFormatting>
  <conditionalFormatting sqref="D3:L3">
    <cfRule type="containsText" dxfId="11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Q362"/>
  <sheetViews>
    <sheetView tabSelected="1" zoomScaleNormal="100" workbookViewId="0">
      <selection activeCell="B2" sqref="B2"/>
    </sheetView>
  </sheetViews>
  <sheetFormatPr defaultRowHeight="20.149999999999999" customHeight="1"/>
  <cols>
    <col min="1" max="12" width="14.58203125" style="121" customWidth="1"/>
    <col min="13" max="15" width="14.58203125" style="119" customWidth="1"/>
    <col min="16" max="213" width="9" style="119"/>
    <col min="214" max="214" width="17" style="119" bestFit="1" customWidth="1"/>
    <col min="215" max="215" width="23.33203125" style="119" customWidth="1"/>
    <col min="216" max="216" width="14.25" style="119" customWidth="1"/>
    <col min="217" max="469" width="9" style="119"/>
    <col min="470" max="470" width="17" style="119" bestFit="1" customWidth="1"/>
    <col min="471" max="471" width="23.33203125" style="119" customWidth="1"/>
    <col min="472" max="472" width="14.25" style="119" customWidth="1"/>
    <col min="473" max="725" width="9" style="119"/>
    <col min="726" max="726" width="17" style="119" bestFit="1" customWidth="1"/>
    <col min="727" max="727" width="23.33203125" style="119" customWidth="1"/>
    <col min="728" max="728" width="14.25" style="119" customWidth="1"/>
    <col min="729" max="981" width="9" style="119"/>
    <col min="982" max="982" width="17" style="119" bestFit="1" customWidth="1"/>
    <col min="983" max="983" width="23.33203125" style="119" customWidth="1"/>
    <col min="984" max="984" width="14.25" style="119" customWidth="1"/>
    <col min="985" max="1237" width="9" style="119"/>
    <col min="1238" max="1238" width="17" style="119" bestFit="1" customWidth="1"/>
    <col min="1239" max="1239" width="23.33203125" style="119" customWidth="1"/>
    <col min="1240" max="1240" width="14.25" style="119" customWidth="1"/>
    <col min="1241" max="1493" width="9" style="119"/>
    <col min="1494" max="1494" width="17" style="119" bestFit="1" customWidth="1"/>
    <col min="1495" max="1495" width="23.33203125" style="119" customWidth="1"/>
    <col min="1496" max="1496" width="14.25" style="119" customWidth="1"/>
    <col min="1497" max="1749" width="9" style="119"/>
    <col min="1750" max="1750" width="17" style="119" bestFit="1" customWidth="1"/>
    <col min="1751" max="1751" width="23.33203125" style="119" customWidth="1"/>
    <col min="1752" max="1752" width="14.25" style="119" customWidth="1"/>
    <col min="1753" max="2005" width="9" style="119"/>
    <col min="2006" max="2006" width="17" style="119" bestFit="1" customWidth="1"/>
    <col min="2007" max="2007" width="23.33203125" style="119" customWidth="1"/>
    <col min="2008" max="2008" width="14.25" style="119" customWidth="1"/>
    <col min="2009" max="2261" width="9" style="119"/>
    <col min="2262" max="2262" width="17" style="119" bestFit="1" customWidth="1"/>
    <col min="2263" max="2263" width="23.33203125" style="119" customWidth="1"/>
    <col min="2264" max="2264" width="14.25" style="119" customWidth="1"/>
    <col min="2265" max="2517" width="9" style="119"/>
    <col min="2518" max="2518" width="17" style="119" bestFit="1" customWidth="1"/>
    <col min="2519" max="2519" width="23.33203125" style="119" customWidth="1"/>
    <col min="2520" max="2520" width="14.25" style="119" customWidth="1"/>
    <col min="2521" max="2773" width="9" style="119"/>
    <col min="2774" max="2774" width="17" style="119" bestFit="1" customWidth="1"/>
    <col min="2775" max="2775" width="23.33203125" style="119" customWidth="1"/>
    <col min="2776" max="2776" width="14.25" style="119" customWidth="1"/>
    <col min="2777" max="3029" width="9" style="119"/>
    <col min="3030" max="3030" width="17" style="119" bestFit="1" customWidth="1"/>
    <col min="3031" max="3031" width="23.33203125" style="119" customWidth="1"/>
    <col min="3032" max="3032" width="14.25" style="119" customWidth="1"/>
    <col min="3033" max="3285" width="9" style="119"/>
    <col min="3286" max="3286" width="17" style="119" bestFit="1" customWidth="1"/>
    <col min="3287" max="3287" width="23.33203125" style="119" customWidth="1"/>
    <col min="3288" max="3288" width="14.25" style="119" customWidth="1"/>
    <col min="3289" max="3541" width="9" style="119"/>
    <col min="3542" max="3542" width="17" style="119" bestFit="1" customWidth="1"/>
    <col min="3543" max="3543" width="23.33203125" style="119" customWidth="1"/>
    <col min="3544" max="3544" width="14.25" style="119" customWidth="1"/>
    <col min="3545" max="3797" width="9" style="119"/>
    <col min="3798" max="3798" width="17" style="119" bestFit="1" customWidth="1"/>
    <col min="3799" max="3799" width="23.33203125" style="119" customWidth="1"/>
    <col min="3800" max="3800" width="14.25" style="119" customWidth="1"/>
    <col min="3801" max="4053" width="9" style="119"/>
    <col min="4054" max="4054" width="17" style="119" bestFit="1" customWidth="1"/>
    <col min="4055" max="4055" width="23.33203125" style="119" customWidth="1"/>
    <col min="4056" max="4056" width="14.25" style="119" customWidth="1"/>
    <col min="4057" max="4309" width="9" style="119"/>
    <col min="4310" max="4310" width="17" style="119" bestFit="1" customWidth="1"/>
    <col min="4311" max="4311" width="23.33203125" style="119" customWidth="1"/>
    <col min="4312" max="4312" width="14.25" style="119" customWidth="1"/>
    <col min="4313" max="4565" width="9" style="119"/>
    <col min="4566" max="4566" width="17" style="119" bestFit="1" customWidth="1"/>
    <col min="4567" max="4567" width="23.33203125" style="119" customWidth="1"/>
    <col min="4568" max="4568" width="14.25" style="119" customWidth="1"/>
    <col min="4569" max="4821" width="9" style="119"/>
    <col min="4822" max="4822" width="17" style="119" bestFit="1" customWidth="1"/>
    <col min="4823" max="4823" width="23.33203125" style="119" customWidth="1"/>
    <col min="4824" max="4824" width="14.25" style="119" customWidth="1"/>
    <col min="4825" max="5077" width="9" style="119"/>
    <col min="5078" max="5078" width="17" style="119" bestFit="1" customWidth="1"/>
    <col min="5079" max="5079" width="23.33203125" style="119" customWidth="1"/>
    <col min="5080" max="5080" width="14.25" style="119" customWidth="1"/>
    <col min="5081" max="5333" width="9" style="119"/>
    <col min="5334" max="5334" width="17" style="119" bestFit="1" customWidth="1"/>
    <col min="5335" max="5335" width="23.33203125" style="119" customWidth="1"/>
    <col min="5336" max="5336" width="14.25" style="119" customWidth="1"/>
    <col min="5337" max="5589" width="9" style="119"/>
    <col min="5590" max="5590" width="17" style="119" bestFit="1" customWidth="1"/>
    <col min="5591" max="5591" width="23.33203125" style="119" customWidth="1"/>
    <col min="5592" max="5592" width="14.25" style="119" customWidth="1"/>
    <col min="5593" max="5845" width="9" style="119"/>
    <col min="5846" max="5846" width="17" style="119" bestFit="1" customWidth="1"/>
    <col min="5847" max="5847" width="23.33203125" style="119" customWidth="1"/>
    <col min="5848" max="5848" width="14.25" style="119" customWidth="1"/>
    <col min="5849" max="6101" width="9" style="119"/>
    <col min="6102" max="6102" width="17" style="119" bestFit="1" customWidth="1"/>
    <col min="6103" max="6103" width="23.33203125" style="119" customWidth="1"/>
    <col min="6104" max="6104" width="14.25" style="119" customWidth="1"/>
    <col min="6105" max="6357" width="9" style="119"/>
    <col min="6358" max="6358" width="17" style="119" bestFit="1" customWidth="1"/>
    <col min="6359" max="6359" width="23.33203125" style="119" customWidth="1"/>
    <col min="6360" max="6360" width="14.25" style="119" customWidth="1"/>
    <col min="6361" max="6613" width="9" style="119"/>
    <col min="6614" max="6614" width="17" style="119" bestFit="1" customWidth="1"/>
    <col min="6615" max="6615" width="23.33203125" style="119" customWidth="1"/>
    <col min="6616" max="6616" width="14.25" style="119" customWidth="1"/>
    <col min="6617" max="6869" width="9" style="119"/>
    <col min="6870" max="6870" width="17" style="119" bestFit="1" customWidth="1"/>
    <col min="6871" max="6871" width="23.33203125" style="119" customWidth="1"/>
    <col min="6872" max="6872" width="14.25" style="119" customWidth="1"/>
    <col min="6873" max="7125" width="9" style="119"/>
    <col min="7126" max="7126" width="17" style="119" bestFit="1" customWidth="1"/>
    <col min="7127" max="7127" width="23.33203125" style="119" customWidth="1"/>
    <col min="7128" max="7128" width="14.25" style="119" customWidth="1"/>
    <col min="7129" max="7381" width="9" style="119"/>
    <col min="7382" max="7382" width="17" style="119" bestFit="1" customWidth="1"/>
    <col min="7383" max="7383" width="23.33203125" style="119" customWidth="1"/>
    <col min="7384" max="7384" width="14.25" style="119" customWidth="1"/>
    <col min="7385" max="7637" width="9" style="119"/>
    <col min="7638" max="7638" width="17" style="119" bestFit="1" customWidth="1"/>
    <col min="7639" max="7639" width="23.33203125" style="119" customWidth="1"/>
    <col min="7640" max="7640" width="14.25" style="119" customWidth="1"/>
    <col min="7641" max="7893" width="9" style="119"/>
    <col min="7894" max="7894" width="17" style="119" bestFit="1" customWidth="1"/>
    <col min="7895" max="7895" width="23.33203125" style="119" customWidth="1"/>
    <col min="7896" max="7896" width="14.25" style="119" customWidth="1"/>
    <col min="7897" max="8149" width="9" style="119"/>
    <col min="8150" max="8150" width="17" style="119" bestFit="1" customWidth="1"/>
    <col min="8151" max="8151" width="23.33203125" style="119" customWidth="1"/>
    <col min="8152" max="8152" width="14.25" style="119" customWidth="1"/>
    <col min="8153" max="8405" width="9" style="119"/>
    <col min="8406" max="8406" width="17" style="119" bestFit="1" customWidth="1"/>
    <col min="8407" max="8407" width="23.33203125" style="119" customWidth="1"/>
    <col min="8408" max="8408" width="14.25" style="119" customWidth="1"/>
    <col min="8409" max="8661" width="9" style="119"/>
    <col min="8662" max="8662" width="17" style="119" bestFit="1" customWidth="1"/>
    <col min="8663" max="8663" width="23.33203125" style="119" customWidth="1"/>
    <col min="8664" max="8664" width="14.25" style="119" customWidth="1"/>
    <col min="8665" max="8917" width="9" style="119"/>
    <col min="8918" max="8918" width="17" style="119" bestFit="1" customWidth="1"/>
    <col min="8919" max="8919" width="23.33203125" style="119" customWidth="1"/>
    <col min="8920" max="8920" width="14.25" style="119" customWidth="1"/>
    <col min="8921" max="9173" width="9" style="119"/>
    <col min="9174" max="9174" width="17" style="119" bestFit="1" customWidth="1"/>
    <col min="9175" max="9175" width="23.33203125" style="119" customWidth="1"/>
    <col min="9176" max="9176" width="14.25" style="119" customWidth="1"/>
    <col min="9177" max="9429" width="9" style="119"/>
    <col min="9430" max="9430" width="17" style="119" bestFit="1" customWidth="1"/>
    <col min="9431" max="9431" width="23.33203125" style="119" customWidth="1"/>
    <col min="9432" max="9432" width="14.25" style="119" customWidth="1"/>
    <col min="9433" max="9685" width="9" style="119"/>
    <col min="9686" max="9686" width="17" style="119" bestFit="1" customWidth="1"/>
    <col min="9687" max="9687" width="23.33203125" style="119" customWidth="1"/>
    <col min="9688" max="9688" width="14.25" style="119" customWidth="1"/>
    <col min="9689" max="9941" width="9" style="119"/>
    <col min="9942" max="9942" width="17" style="119" bestFit="1" customWidth="1"/>
    <col min="9943" max="9943" width="23.33203125" style="119" customWidth="1"/>
    <col min="9944" max="9944" width="14.25" style="119" customWidth="1"/>
    <col min="9945" max="10197" width="9" style="119"/>
    <col min="10198" max="10198" width="17" style="119" bestFit="1" customWidth="1"/>
    <col min="10199" max="10199" width="23.33203125" style="119" customWidth="1"/>
    <col min="10200" max="10200" width="14.25" style="119" customWidth="1"/>
    <col min="10201" max="10453" width="9" style="119"/>
    <col min="10454" max="10454" width="17" style="119" bestFit="1" customWidth="1"/>
    <col min="10455" max="10455" width="23.33203125" style="119" customWidth="1"/>
    <col min="10456" max="10456" width="14.25" style="119" customWidth="1"/>
    <col min="10457" max="10709" width="9" style="119"/>
    <col min="10710" max="10710" width="17" style="119" bestFit="1" customWidth="1"/>
    <col min="10711" max="10711" width="23.33203125" style="119" customWidth="1"/>
    <col min="10712" max="10712" width="14.25" style="119" customWidth="1"/>
    <col min="10713" max="10965" width="9" style="119"/>
    <col min="10966" max="10966" width="17" style="119" bestFit="1" customWidth="1"/>
    <col min="10967" max="10967" width="23.33203125" style="119" customWidth="1"/>
    <col min="10968" max="10968" width="14.25" style="119" customWidth="1"/>
    <col min="10969" max="11221" width="9" style="119"/>
    <col min="11222" max="11222" width="17" style="119" bestFit="1" customWidth="1"/>
    <col min="11223" max="11223" width="23.33203125" style="119" customWidth="1"/>
    <col min="11224" max="11224" width="14.25" style="119" customWidth="1"/>
    <col min="11225" max="11477" width="9" style="119"/>
    <col min="11478" max="11478" width="17" style="119" bestFit="1" customWidth="1"/>
    <col min="11479" max="11479" width="23.33203125" style="119" customWidth="1"/>
    <col min="11480" max="11480" width="14.25" style="119" customWidth="1"/>
    <col min="11481" max="11733" width="9" style="119"/>
    <col min="11734" max="11734" width="17" style="119" bestFit="1" customWidth="1"/>
    <col min="11735" max="11735" width="23.33203125" style="119" customWidth="1"/>
    <col min="11736" max="11736" width="14.25" style="119" customWidth="1"/>
    <col min="11737" max="11989" width="9" style="119"/>
    <col min="11990" max="11990" width="17" style="119" bestFit="1" customWidth="1"/>
    <col min="11991" max="11991" width="23.33203125" style="119" customWidth="1"/>
    <col min="11992" max="11992" width="14.25" style="119" customWidth="1"/>
    <col min="11993" max="12245" width="9" style="119"/>
    <col min="12246" max="12246" width="17" style="119" bestFit="1" customWidth="1"/>
    <col min="12247" max="12247" width="23.33203125" style="119" customWidth="1"/>
    <col min="12248" max="12248" width="14.25" style="119" customWidth="1"/>
    <col min="12249" max="12501" width="9" style="119"/>
    <col min="12502" max="12502" width="17" style="119" bestFit="1" customWidth="1"/>
    <col min="12503" max="12503" width="23.33203125" style="119" customWidth="1"/>
    <col min="12504" max="12504" width="14.25" style="119" customWidth="1"/>
    <col min="12505" max="12757" width="9" style="119"/>
    <col min="12758" max="12758" width="17" style="119" bestFit="1" customWidth="1"/>
    <col min="12759" max="12759" width="23.33203125" style="119" customWidth="1"/>
    <col min="12760" max="12760" width="14.25" style="119" customWidth="1"/>
    <col min="12761" max="13013" width="9" style="119"/>
    <col min="13014" max="13014" width="17" style="119" bestFit="1" customWidth="1"/>
    <col min="13015" max="13015" width="23.33203125" style="119" customWidth="1"/>
    <col min="13016" max="13016" width="14.25" style="119" customWidth="1"/>
    <col min="13017" max="13269" width="9" style="119"/>
    <col min="13270" max="13270" width="17" style="119" bestFit="1" customWidth="1"/>
    <col min="13271" max="13271" width="23.33203125" style="119" customWidth="1"/>
    <col min="13272" max="13272" width="14.25" style="119" customWidth="1"/>
    <col min="13273" max="13525" width="9" style="119"/>
    <col min="13526" max="13526" width="17" style="119" bestFit="1" customWidth="1"/>
    <col min="13527" max="13527" width="23.33203125" style="119" customWidth="1"/>
    <col min="13528" max="13528" width="14.25" style="119" customWidth="1"/>
    <col min="13529" max="13781" width="9" style="119"/>
    <col min="13782" max="13782" width="17" style="119" bestFit="1" customWidth="1"/>
    <col min="13783" max="13783" width="23.33203125" style="119" customWidth="1"/>
    <col min="13784" max="13784" width="14.25" style="119" customWidth="1"/>
    <col min="13785" max="14037" width="9" style="119"/>
    <col min="14038" max="14038" width="17" style="119" bestFit="1" customWidth="1"/>
    <col min="14039" max="14039" width="23.33203125" style="119" customWidth="1"/>
    <col min="14040" max="14040" width="14.25" style="119" customWidth="1"/>
    <col min="14041" max="14293" width="9" style="119"/>
    <col min="14294" max="14294" width="17" style="119" bestFit="1" customWidth="1"/>
    <col min="14295" max="14295" width="23.33203125" style="119" customWidth="1"/>
    <col min="14296" max="14296" width="14.25" style="119" customWidth="1"/>
    <col min="14297" max="14549" width="9" style="119"/>
    <col min="14550" max="14550" width="17" style="119" bestFit="1" customWidth="1"/>
    <col min="14551" max="14551" width="23.33203125" style="119" customWidth="1"/>
    <col min="14552" max="14552" width="14.25" style="119" customWidth="1"/>
    <col min="14553" max="14805" width="9" style="119"/>
    <col min="14806" max="14806" width="17" style="119" bestFit="1" customWidth="1"/>
    <col min="14807" max="14807" width="23.33203125" style="119" customWidth="1"/>
    <col min="14808" max="14808" width="14.25" style="119" customWidth="1"/>
    <col min="14809" max="15061" width="9" style="119"/>
    <col min="15062" max="15062" width="17" style="119" bestFit="1" customWidth="1"/>
    <col min="15063" max="15063" width="23.33203125" style="119" customWidth="1"/>
    <col min="15064" max="15064" width="14.25" style="119" customWidth="1"/>
    <col min="15065" max="15317" width="9" style="119"/>
    <col min="15318" max="15318" width="17" style="119" bestFit="1" customWidth="1"/>
    <col min="15319" max="15319" width="23.33203125" style="119" customWidth="1"/>
    <col min="15320" max="15320" width="14.25" style="119" customWidth="1"/>
    <col min="15321" max="15573" width="9" style="119"/>
    <col min="15574" max="15574" width="17" style="119" bestFit="1" customWidth="1"/>
    <col min="15575" max="15575" width="23.33203125" style="119" customWidth="1"/>
    <col min="15576" max="15576" width="14.25" style="119" customWidth="1"/>
    <col min="15577" max="15829" width="9" style="119"/>
    <col min="15830" max="15830" width="17" style="119" bestFit="1" customWidth="1"/>
    <col min="15831" max="15831" width="23.33203125" style="119" customWidth="1"/>
    <col min="15832" max="15832" width="14.25" style="119" customWidth="1"/>
    <col min="15833" max="16085" width="9" style="119"/>
    <col min="16086" max="16086" width="17" style="119" bestFit="1" customWidth="1"/>
    <col min="16087" max="16087" width="23.33203125" style="119" customWidth="1"/>
    <col min="16088" max="16088" width="14.25" style="119" customWidth="1"/>
    <col min="16089" max="16384" width="9" style="119"/>
  </cols>
  <sheetData>
    <row r="1" spans="1:17" ht="25.5" customHeight="1" thickTop="1" thickBot="1">
      <c r="A1" s="154" t="s">
        <v>213</v>
      </c>
      <c r="B1" s="512" t="s">
        <v>216</v>
      </c>
      <c r="C1" s="154" t="s">
        <v>214</v>
      </c>
      <c r="D1" s="175" t="s">
        <v>235</v>
      </c>
      <c r="E1" s="154" t="s">
        <v>215</v>
      </c>
      <c r="F1" s="175">
        <v>2023</v>
      </c>
      <c r="G1" s="510" t="str">
        <f>IF(LEN(교회명)=0," ← 교회명을 입력하세요.",IF(LEN(부서명)=0," ← 부서명을 입력하세요. ", IF(LEN(회계년도)=0," ← 회계연도(숫자 4자리)를 입력하세요. ","")))</f>
        <v/>
      </c>
      <c r="H1" s="511"/>
      <c r="I1" s="511"/>
      <c r="J1" s="511"/>
      <c r="K1" s="511"/>
      <c r="L1" s="511"/>
      <c r="M1" s="511"/>
      <c r="N1" s="511"/>
      <c r="O1" s="511"/>
      <c r="P1" s="157"/>
    </row>
    <row r="2" spans="1:17" ht="25" customHeight="1" thickTop="1" thickBot="1">
      <c r="A2" s="155" t="s">
        <v>165</v>
      </c>
      <c r="B2" s="176" t="s">
        <v>170</v>
      </c>
      <c r="C2" s="266" t="s">
        <v>217</v>
      </c>
      <c r="D2" s="177" t="s">
        <v>218</v>
      </c>
      <c r="E2" s="508" t="str">
        <f>IF(COUNTA(B2:D2)&lt;3,"← 결의서(기본/추가)에 표시되는 결재자 직책을 순서대로 넣어주세요. 세번째 결재자 직책은 검산서(상반기/하반기)에 적용됩니다.","")</f>
        <v/>
      </c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156"/>
    </row>
    <row r="3" spans="1:17" s="137" customFormat="1" ht="7.5" customHeight="1" thickTop="1" thickBot="1">
      <c r="A3" s="132"/>
      <c r="B3" s="133"/>
      <c r="C3" s="134"/>
      <c r="D3" s="133"/>
      <c r="E3" s="135"/>
      <c r="F3" s="135"/>
      <c r="G3" s="135"/>
      <c r="H3" s="135"/>
      <c r="I3" s="135"/>
      <c r="J3" s="135"/>
      <c r="K3" s="135"/>
      <c r="L3" s="135"/>
      <c r="M3" s="136"/>
      <c r="N3" s="136"/>
      <c r="O3" s="136"/>
      <c r="P3" s="136"/>
    </row>
    <row r="4" spans="1:17" ht="24.5" customHeight="1" thickBot="1">
      <c r="A4" s="145" t="s">
        <v>38</v>
      </c>
      <c r="B4" s="504" t="str">
        <f>IF(COUNTA($A$6:$O$25)&gt;47," (오류) 등록한 수입항목이 "&amp;COUNTA($A$6:$O$25)&amp;"개입니다. 수입항목은 최대 47개를 초과하면 회계보고서를 자동 생성할 수 없습니다.",IF(COUNTIFS($A$26:$O$26,"오류")&gt;0," (오류) 수입코드 '관'과 '수입항목' 모두를 입력해야 합니다.",IF(COUNTIFS($A$26:$O$26,"관입력누락")&gt;0,"(오류) 관 항목은 누락없이 순서대로 입력하세요","")))</f>
        <v/>
      </c>
      <c r="C4" s="505"/>
      <c r="D4" s="505"/>
      <c r="E4" s="505"/>
      <c r="F4" s="505"/>
      <c r="G4" s="505"/>
      <c r="H4" s="505"/>
      <c r="I4" s="505"/>
      <c r="J4" s="505"/>
      <c r="K4" s="505"/>
      <c r="L4" s="505"/>
    </row>
    <row r="5" spans="1:17" s="131" customFormat="1" ht="18" customHeight="1" thickTop="1" thickBot="1">
      <c r="A5" s="148" t="s">
        <v>101</v>
      </c>
      <c r="B5" s="149" t="s">
        <v>107</v>
      </c>
      <c r="C5" s="149" t="s">
        <v>100</v>
      </c>
      <c r="D5" s="188" t="s">
        <v>109</v>
      </c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9"/>
      <c r="Q5" s="81"/>
    </row>
    <row r="6" spans="1:17" s="44" customFormat="1" ht="18" customHeight="1" thickTop="1">
      <c r="A6" s="146" t="s">
        <v>101</v>
      </c>
      <c r="B6" s="147" t="s">
        <v>110</v>
      </c>
      <c r="C6" s="147" t="s">
        <v>225</v>
      </c>
      <c r="D6" s="178" t="s">
        <v>111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80"/>
    </row>
    <row r="7" spans="1:17" s="44" customFormat="1" ht="18" customHeight="1">
      <c r="A7" s="138"/>
      <c r="B7" s="139" t="s">
        <v>108</v>
      </c>
      <c r="C7" s="181" t="s">
        <v>226</v>
      </c>
      <c r="D7" s="182" t="s">
        <v>112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3"/>
    </row>
    <row r="8" spans="1:17" s="45" customFormat="1" ht="18" customHeight="1">
      <c r="A8" s="140"/>
      <c r="B8" s="141"/>
      <c r="C8" s="181" t="s">
        <v>227</v>
      </c>
      <c r="D8" s="182" t="s">
        <v>113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4"/>
    </row>
    <row r="9" spans="1:17" s="43" customFormat="1" ht="18" customHeight="1">
      <c r="A9" s="140"/>
      <c r="B9" s="141"/>
      <c r="C9" s="181" t="s">
        <v>228</v>
      </c>
      <c r="D9" s="182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4"/>
    </row>
    <row r="10" spans="1:17" s="43" customFormat="1" ht="18" customHeight="1">
      <c r="A10" s="140"/>
      <c r="B10" s="141"/>
      <c r="C10" s="181" t="s">
        <v>229</v>
      </c>
      <c r="D10" s="182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4"/>
    </row>
    <row r="11" spans="1:17" s="43" customFormat="1" ht="18" customHeight="1">
      <c r="A11" s="140"/>
      <c r="B11" s="141"/>
      <c r="C11" s="181" t="s">
        <v>230</v>
      </c>
      <c r="D11" s="182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4"/>
    </row>
    <row r="12" spans="1:17" s="43" customFormat="1" ht="18" customHeight="1">
      <c r="A12" s="140"/>
      <c r="B12" s="141"/>
      <c r="C12" s="181" t="s">
        <v>231</v>
      </c>
      <c r="D12" s="182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4"/>
    </row>
    <row r="13" spans="1:17" s="43" customFormat="1" ht="18" customHeight="1">
      <c r="A13" s="140"/>
      <c r="B13" s="141"/>
      <c r="C13" s="181" t="s">
        <v>232</v>
      </c>
      <c r="D13" s="182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4"/>
    </row>
    <row r="14" spans="1:17" s="43" customFormat="1" ht="18" customHeight="1">
      <c r="A14" s="140"/>
      <c r="B14" s="141"/>
      <c r="C14" s="181" t="s">
        <v>233</v>
      </c>
      <c r="D14" s="182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4"/>
    </row>
    <row r="15" spans="1:17" s="43" customFormat="1" ht="18" customHeight="1">
      <c r="A15" s="200"/>
      <c r="B15" s="141"/>
      <c r="C15" s="181" t="s">
        <v>234</v>
      </c>
      <c r="D15" s="182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4"/>
    </row>
    <row r="16" spans="1:17" s="43" customFormat="1" ht="18" customHeight="1">
      <c r="A16" s="140"/>
      <c r="B16" s="141"/>
      <c r="C16" s="181" t="s">
        <v>239</v>
      </c>
      <c r="D16" s="182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4"/>
    </row>
    <row r="17" spans="1:15" s="43" customFormat="1" ht="18" customHeight="1">
      <c r="A17" s="140"/>
      <c r="B17" s="141"/>
      <c r="C17" s="181" t="s">
        <v>236</v>
      </c>
      <c r="D17" s="182"/>
      <c r="E17" s="181"/>
      <c r="F17" s="181"/>
      <c r="G17" s="181"/>
      <c r="H17" s="181"/>
      <c r="I17" s="201"/>
      <c r="J17" s="181"/>
      <c r="K17" s="181"/>
      <c r="L17" s="181"/>
      <c r="M17" s="181"/>
      <c r="N17" s="181"/>
      <c r="O17" s="184"/>
    </row>
    <row r="18" spans="1:15" s="43" customFormat="1" ht="18" customHeight="1">
      <c r="A18" s="140"/>
      <c r="B18" s="141"/>
      <c r="C18" s="181" t="s">
        <v>242</v>
      </c>
      <c r="D18" s="182"/>
      <c r="E18" s="181"/>
      <c r="F18" s="181"/>
      <c r="G18" s="185"/>
      <c r="H18" s="181"/>
      <c r="I18" s="181"/>
      <c r="J18" s="181"/>
      <c r="K18" s="181"/>
      <c r="L18" s="181"/>
      <c r="M18" s="181"/>
      <c r="N18" s="181"/>
      <c r="O18" s="184"/>
    </row>
    <row r="19" spans="1:15" s="43" customFormat="1" ht="18" customHeight="1">
      <c r="A19" s="140"/>
      <c r="B19" s="141"/>
      <c r="C19" s="181"/>
      <c r="D19" s="182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4"/>
    </row>
    <row r="20" spans="1:15" s="43" customFormat="1" ht="18" customHeight="1">
      <c r="A20" s="140"/>
      <c r="B20" s="141"/>
      <c r="C20" s="181"/>
      <c r="D20" s="182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4"/>
    </row>
    <row r="21" spans="1:15" s="43" customFormat="1" ht="18" customHeight="1">
      <c r="A21" s="140"/>
      <c r="B21" s="141"/>
      <c r="C21" s="181"/>
      <c r="D21" s="182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4"/>
    </row>
    <row r="22" spans="1:15" s="43" customFormat="1" ht="18" customHeight="1">
      <c r="A22" s="140"/>
      <c r="B22" s="141"/>
      <c r="C22" s="181"/>
      <c r="D22" s="182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4"/>
    </row>
    <row r="23" spans="1:15" s="43" customFormat="1" ht="18" customHeight="1">
      <c r="A23" s="140"/>
      <c r="B23" s="141"/>
      <c r="C23" s="181"/>
      <c r="D23" s="182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4"/>
    </row>
    <row r="24" spans="1:15" s="43" customFormat="1" ht="18" customHeight="1">
      <c r="A24" s="140"/>
      <c r="B24" s="14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4"/>
    </row>
    <row r="25" spans="1:15" s="43" customFormat="1" ht="18" customHeight="1" thickBot="1">
      <c r="A25" s="142"/>
      <c r="B25" s="143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7"/>
    </row>
    <row r="26" spans="1:15" s="152" customFormat="1" ht="18" hidden="1" customHeight="1">
      <c r="A26" s="151" t="str">
        <f>IF(AND(LEN(A5)=0,COUNTA(B5:$O$5)&gt;0),"관입력누락",IF(COUNTA(A5)=MIN(1,COUNTA(A6:A25)),"","오류"))</f>
        <v/>
      </c>
      <c r="B26" s="151" t="str">
        <f>IF(AND(LEN(B5)=0,COUNTA(C5:$O$5)&gt;0),"관입력누락",IF(COUNTA(B5)=MIN(1,COUNTA(B6:B25)),"","오류"))</f>
        <v/>
      </c>
      <c r="C26" s="151" t="str">
        <f>IF(AND(LEN(C5)=0,COUNTA(D5:$O$5)&gt;0),"관입력누락",IF(COUNTA(C5)=MIN(1,COUNTA(C6:C25)),"","오류"))</f>
        <v/>
      </c>
      <c r="D26" s="151" t="str">
        <f>IF(AND(LEN(D5)=0,COUNTA(E5:$O$5)&gt;0),"관입력누락",IF(COUNTA(D5)=MIN(1,COUNTA(D6:D25)),"","오류"))</f>
        <v/>
      </c>
      <c r="E26" s="151" t="str">
        <f>IF(AND(LEN(E5)=0,COUNTA(F5:$O$5)&gt;0),"관입력누락",IF(COUNTA(E5)=MIN(1,COUNTA(E6:E25)),"","오류"))</f>
        <v/>
      </c>
      <c r="F26" s="151" t="str">
        <f>IF(AND(LEN(F5)=0,COUNTA(G5:$O$5)&gt;0),"관입력누락",IF(COUNTA(F5)=MIN(1,COUNTA(F6:F25)),"","오류"))</f>
        <v/>
      </c>
      <c r="G26" s="151" t="str">
        <f>IF(AND(LEN(G5)=0,COUNTA(H5:$O$5)&gt;0),"관입력누락",IF(COUNTA(G5)=MIN(1,COUNTA(G6:G25)),"","오류"))</f>
        <v/>
      </c>
      <c r="H26" s="151" t="str">
        <f>IF(AND(LEN(H5)=0,COUNTA(I5:$O$5)&gt;0),"관입력누락",IF(COUNTA(H5)=MIN(1,COUNTA(H6:H25)),"","오류"))</f>
        <v/>
      </c>
      <c r="I26" s="151" t="str">
        <f>IF(AND(LEN(I5)=0,COUNTA(J5:$O$5)&gt;0),"관입력누락",IF(COUNTA(I5)=MIN(1,COUNTA(I6:I25)),"","오류"))</f>
        <v/>
      </c>
      <c r="J26" s="151" t="str">
        <f>IF(AND(LEN(J5)=0,COUNTA(K5:$O$5)&gt;0),"관입력누락",IF(COUNTA(J5)=MIN(1,COUNTA(J6:J25)),"","오류"))</f>
        <v/>
      </c>
      <c r="K26" s="151" t="str">
        <f>IF(AND(LEN(K5)=0,COUNTA(L5:$O$5)&gt;0),"관입력누락",IF(COUNTA(K5)=MIN(1,COUNTA(K6:K25)),"","오류"))</f>
        <v/>
      </c>
      <c r="L26" s="151" t="str">
        <f>IF(AND(LEN(L5)=0,COUNTA(M5:$O$5)&gt;0),"관입력누락",IF(COUNTA(L5)=MIN(1,COUNTA(L6:L25)),"","오류"))</f>
        <v/>
      </c>
      <c r="M26" s="151" t="str">
        <f>IF(AND(LEN(M5)=0,COUNTA(N5:$O$5)&gt;0),"관입력누락",IF(COUNTA(M5)=MIN(1,COUNTA(M6:M25)),"","오류"))</f>
        <v/>
      </c>
      <c r="N26" s="151" t="str">
        <f>IF(AND(LEN(N5)=0,COUNTA(O5:$O$5)&gt;0),"관입력누락",IF(COUNTA(N5)=MIN(1,COUNTA(N6:N25)),"","오류"))</f>
        <v/>
      </c>
      <c r="O26" s="151" t="str">
        <f>IF(AND(LEN(O5)=0,COUNTA($O5:P$5)&gt;0),"관입력누락",IF(COUNTA(O5)=MIN(1,COUNTA(O6:O25)),"","오류"))</f>
        <v/>
      </c>
    </row>
    <row r="27" spans="1:15" s="153" customFormat="1" ht="18" hidden="1" customHeight="1">
      <c r="A27" s="123">
        <f>COUNTA(A6:A25)</f>
        <v>1</v>
      </c>
      <c r="B27" s="123">
        <f t="shared" ref="B27:O27" si="0">COUNTA(B6:B25)</f>
        <v>2</v>
      </c>
      <c r="C27" s="123">
        <f t="shared" si="0"/>
        <v>13</v>
      </c>
      <c r="D27" s="123">
        <f t="shared" si="0"/>
        <v>3</v>
      </c>
      <c r="E27" s="123">
        <f t="shared" si="0"/>
        <v>0</v>
      </c>
      <c r="F27" s="123">
        <f t="shared" si="0"/>
        <v>0</v>
      </c>
      <c r="G27" s="123">
        <f t="shared" si="0"/>
        <v>0</v>
      </c>
      <c r="H27" s="123">
        <f t="shared" si="0"/>
        <v>0</v>
      </c>
      <c r="I27" s="123">
        <f t="shared" si="0"/>
        <v>0</v>
      </c>
      <c r="J27" s="123">
        <f t="shared" si="0"/>
        <v>0</v>
      </c>
      <c r="K27" s="123">
        <f t="shared" si="0"/>
        <v>0</v>
      </c>
      <c r="L27" s="123">
        <f t="shared" si="0"/>
        <v>0</v>
      </c>
      <c r="M27" s="123">
        <f t="shared" si="0"/>
        <v>0</v>
      </c>
      <c r="N27" s="123">
        <f t="shared" si="0"/>
        <v>0</v>
      </c>
      <c r="O27" s="123">
        <f t="shared" si="0"/>
        <v>0</v>
      </c>
    </row>
    <row r="28" spans="1:15" ht="18" customHeight="1" thickBot="1"/>
    <row r="29" spans="1:15" ht="24.5" customHeight="1" thickBot="1">
      <c r="A29" s="144" t="s">
        <v>39</v>
      </c>
      <c r="B29" s="506" t="str">
        <f>IF(COUNTA($A$31:$O$50)&gt;47," (오류) 등록한 지출항목이 "&amp;COUNTA($A$31:$O$50)&amp;"개입니다. 지출항목은 최대 47개를 초과하면 회계보고서를 자동 생성할 수 없습니다.",IF(COUNTIFS($A$51:$O$51,"오류")&gt;0," (오류) 지출코드 '관'과 '지출항목' 모두를 입력해야 합니다.",IF(COUNTIFS($A$51:$O$51,"관입력누락")&gt;0,"(오류) 관 항목은 누락없이 순서대로 입력하세요.","")))</f>
        <v/>
      </c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7"/>
    </row>
    <row r="30" spans="1:15" s="131" customFormat="1" ht="18" customHeight="1" thickTop="1" thickBot="1">
      <c r="A30" s="190" t="s">
        <v>130</v>
      </c>
      <c r="B30" s="188" t="s">
        <v>120</v>
      </c>
      <c r="C30" s="188" t="s">
        <v>131</v>
      </c>
      <c r="D30" s="188" t="s">
        <v>132</v>
      </c>
      <c r="E30" s="188" t="s">
        <v>133</v>
      </c>
      <c r="F30" s="188" t="s">
        <v>134</v>
      </c>
      <c r="G30" s="188" t="s">
        <v>135</v>
      </c>
      <c r="H30" s="188"/>
      <c r="I30" s="188"/>
      <c r="J30" s="188"/>
      <c r="K30" s="188"/>
      <c r="L30" s="188"/>
      <c r="M30" s="188"/>
      <c r="N30" s="188"/>
      <c r="O30" s="189"/>
    </row>
    <row r="31" spans="1:15" s="43" customFormat="1" ht="18" customHeight="1" thickTop="1">
      <c r="A31" s="191" t="s">
        <v>243</v>
      </c>
      <c r="B31" s="192" t="s">
        <v>136</v>
      </c>
      <c r="C31" s="192" t="s">
        <v>121</v>
      </c>
      <c r="D31" s="192" t="s">
        <v>123</v>
      </c>
      <c r="E31" s="192" t="s">
        <v>125</v>
      </c>
      <c r="F31" s="192" t="s">
        <v>119</v>
      </c>
      <c r="G31" s="192" t="s">
        <v>127</v>
      </c>
      <c r="H31" s="192"/>
      <c r="I31" s="192"/>
      <c r="J31" s="192"/>
      <c r="K31" s="192"/>
      <c r="L31" s="192"/>
      <c r="M31" s="192"/>
      <c r="N31" s="192"/>
      <c r="O31" s="193"/>
    </row>
    <row r="32" spans="1:15" s="45" customFormat="1" ht="18" customHeight="1">
      <c r="A32" s="194" t="s">
        <v>118</v>
      </c>
      <c r="B32" s="195" t="s">
        <v>137</v>
      </c>
      <c r="C32" s="195" t="s">
        <v>122</v>
      </c>
      <c r="D32" s="195" t="s">
        <v>124</v>
      </c>
      <c r="E32" s="195" t="s">
        <v>126</v>
      </c>
      <c r="F32" s="195" t="s">
        <v>138</v>
      </c>
      <c r="G32" s="195" t="s">
        <v>128</v>
      </c>
      <c r="H32" s="195"/>
      <c r="I32" s="195"/>
      <c r="J32" s="195"/>
      <c r="K32" s="195"/>
      <c r="L32" s="195"/>
      <c r="M32" s="195"/>
      <c r="N32" s="195"/>
      <c r="O32" s="196"/>
    </row>
    <row r="33" spans="1:15" s="45" customFormat="1" ht="18" customHeight="1">
      <c r="A33" s="194" t="s">
        <v>139</v>
      </c>
      <c r="B33" s="195" t="s">
        <v>140</v>
      </c>
      <c r="C33" s="195"/>
      <c r="D33" s="195"/>
      <c r="E33" s="195"/>
      <c r="F33" s="195"/>
      <c r="G33" s="195" t="s">
        <v>135</v>
      </c>
      <c r="H33" s="195"/>
      <c r="I33" s="195"/>
      <c r="J33" s="195"/>
      <c r="K33" s="195"/>
      <c r="L33" s="195"/>
      <c r="M33" s="195"/>
      <c r="N33" s="195"/>
      <c r="O33" s="196"/>
    </row>
    <row r="34" spans="1:15" s="45" customFormat="1" ht="18" customHeight="1">
      <c r="A34" s="194" t="s">
        <v>169</v>
      </c>
      <c r="B34" s="195" t="s">
        <v>141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6"/>
    </row>
    <row r="35" spans="1:15" s="45" customFormat="1" ht="18" customHeight="1">
      <c r="A35" s="194" t="s">
        <v>245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6"/>
    </row>
    <row r="36" spans="1:15" s="45" customFormat="1" ht="18" customHeight="1">
      <c r="A36" s="194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6"/>
    </row>
    <row r="37" spans="1:15" s="45" customFormat="1" ht="18" customHeight="1">
      <c r="A37" s="194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6"/>
    </row>
    <row r="38" spans="1:15" s="45" customFormat="1" ht="18" customHeight="1">
      <c r="A38" s="194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</row>
    <row r="39" spans="1:15" s="45" customFormat="1" ht="18" customHeight="1">
      <c r="A39" s="194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6"/>
    </row>
    <row r="40" spans="1:15" s="45" customFormat="1" ht="18" customHeight="1">
      <c r="A40" s="194"/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6"/>
    </row>
    <row r="41" spans="1:15" s="45" customFormat="1" ht="18" customHeight="1">
      <c r="A41" s="194"/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6"/>
    </row>
    <row r="42" spans="1:15" s="45" customFormat="1" ht="18" customHeight="1">
      <c r="A42" s="194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6"/>
    </row>
    <row r="43" spans="1:15" s="45" customFormat="1" ht="18" customHeight="1">
      <c r="A43" s="194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6"/>
    </row>
    <row r="44" spans="1:15" s="45" customFormat="1" ht="18" customHeight="1">
      <c r="A44" s="194"/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6"/>
    </row>
    <row r="45" spans="1:15" s="45" customFormat="1" ht="18" customHeight="1">
      <c r="A45" s="194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6"/>
    </row>
    <row r="46" spans="1:15" s="45" customFormat="1" ht="18" customHeight="1">
      <c r="A46" s="194"/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6"/>
    </row>
    <row r="47" spans="1:15" s="43" customFormat="1" ht="18" customHeight="1">
      <c r="A47" s="194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6"/>
    </row>
    <row r="48" spans="1:15" s="43" customFormat="1" ht="18" customHeight="1">
      <c r="A48" s="194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6"/>
    </row>
    <row r="49" spans="1:15" s="43" customFormat="1" ht="18" customHeight="1">
      <c r="A49" s="194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6"/>
    </row>
    <row r="50" spans="1:15" s="45" customFormat="1" ht="18" customHeight="1" thickBot="1">
      <c r="A50" s="197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9"/>
    </row>
    <row r="51" spans="1:15" s="150" customFormat="1" ht="20.149999999999999" hidden="1" customHeight="1">
      <c r="A51" s="151" t="str">
        <f>IF(AND(LEN(A30)=0,COUNTA(B30:$O$30)&gt;0),"관입력누락",IF(COUNTA(A30)=MIN(1,COUNTA(A31:A50)),"","오류"))</f>
        <v/>
      </c>
      <c r="B51" s="151" t="str">
        <f>IF(AND(LEN(B30)=0,COUNTA(C30:$O$30)&gt;0),"관입력누락",IF(COUNTA(B30)=MIN(1,COUNTA(B31:B50)),"","오류"))</f>
        <v/>
      </c>
      <c r="C51" s="151" t="str">
        <f>IF(AND(LEN(C30)=0,COUNTA(D30:$O$30)&gt;0),"관입력누락",IF(COUNTA(C30)=MIN(1,COUNTA(C31:C50)),"","오류"))</f>
        <v/>
      </c>
      <c r="D51" s="151" t="str">
        <f>IF(AND(LEN(D30)=0,COUNTA(E30:$O$30)&gt;0),"관입력누락",IF(COUNTA(D30)=MIN(1,COUNTA(D31:D50)),"","오류"))</f>
        <v/>
      </c>
      <c r="E51" s="151" t="str">
        <f>IF(AND(LEN(E30)=0,COUNTA(F30:$O$30)&gt;0),"관입력누락",IF(COUNTA(E30)=MIN(1,COUNTA(E31:E50)),"","오류"))</f>
        <v/>
      </c>
      <c r="F51" s="151" t="str">
        <f>IF(AND(LEN(F30)=0,COUNTA(G30:$O$30)&gt;0),"관입력누락",IF(COUNTA(F30)=MIN(1,COUNTA(F31:F50)),"","오류"))</f>
        <v/>
      </c>
      <c r="G51" s="151" t="str">
        <f>IF(AND(LEN(G30)=0,COUNTA(H30:$O$30)&gt;0),"관입력누락",IF(COUNTA(G30)=MIN(1,COUNTA(G31:G50)),"","오류"))</f>
        <v/>
      </c>
      <c r="H51" s="151" t="str">
        <f>IF(AND(LEN(H30)=0,COUNTA(I30:$O$30)&gt;0),"관입력누락",IF(COUNTA(H30)=MIN(1,COUNTA(H31:H50)),"","오류"))</f>
        <v/>
      </c>
      <c r="I51" s="151" t="str">
        <f>IF(AND(LEN(I30)=0,COUNTA(J30:$O$30)&gt;0),"관입력누락",IF(COUNTA(I30)=MIN(1,COUNTA(I31:I50)),"","오류"))</f>
        <v/>
      </c>
      <c r="J51" s="151" t="str">
        <f>IF(AND(LEN(J30)=0,COUNTA(K30:$O$30)&gt;0),"관입력누락",IF(COUNTA(J30)=MIN(1,COUNTA(J31:J50)),"","오류"))</f>
        <v/>
      </c>
      <c r="K51" s="151" t="str">
        <f>IF(AND(LEN(K30)=0,COUNTA(L30:$O$30)&gt;0),"관입력누락",IF(COUNTA(K30)=MIN(1,COUNTA(K31:K50)),"","오류"))</f>
        <v/>
      </c>
      <c r="L51" s="151" t="str">
        <f>IF(AND(LEN(L30)=0,COUNTA(M30:$O$30)&gt;0),"관입력누락",IF(COUNTA(L30)=MIN(1,COUNTA(L31:L50)),"","오류"))</f>
        <v/>
      </c>
      <c r="M51" s="151" t="str">
        <f>IF(AND(LEN(M30)=0,COUNTA(N30:$O$30)&gt;0),"관입력누락",IF(COUNTA(M30)=MIN(1,COUNTA(M31:M50)),"","오류"))</f>
        <v/>
      </c>
      <c r="N51" s="151" t="str">
        <f>IF(AND(LEN(N30)=0,COUNTA(O30:$O$30)&gt;0),"관입력누락",IF(COUNTA(N30)=MIN(1,COUNTA(N31:N50)),"","오류"))</f>
        <v/>
      </c>
      <c r="O51" s="151" t="str">
        <f>IF(AND(LEN(O30)=0,COUNTA($O30:P$30)&gt;0),"관입력누락",IF(COUNTA(O30)=MIN(1,COUNTA(O31:O50)),"","오류"))</f>
        <v/>
      </c>
    </row>
    <row r="52" spans="1:15" s="120" customFormat="1" ht="20.149999999999999" hidden="1" customHeight="1">
      <c r="A52" s="123">
        <f>COUNTA(A31:A50)</f>
        <v>5</v>
      </c>
      <c r="B52" s="123">
        <f t="shared" ref="B52:O52" si="1">COUNTA(B31:B50)</f>
        <v>4</v>
      </c>
      <c r="C52" s="123">
        <f t="shared" si="1"/>
        <v>2</v>
      </c>
      <c r="D52" s="123">
        <f t="shared" si="1"/>
        <v>2</v>
      </c>
      <c r="E52" s="123">
        <f t="shared" si="1"/>
        <v>2</v>
      </c>
      <c r="F52" s="123">
        <f t="shared" si="1"/>
        <v>2</v>
      </c>
      <c r="G52" s="123">
        <f t="shared" si="1"/>
        <v>3</v>
      </c>
      <c r="H52" s="123">
        <f t="shared" si="1"/>
        <v>0</v>
      </c>
      <c r="I52" s="123">
        <f t="shared" si="1"/>
        <v>0</v>
      </c>
      <c r="J52" s="123">
        <f t="shared" si="1"/>
        <v>0</v>
      </c>
      <c r="K52" s="123">
        <f t="shared" si="1"/>
        <v>0</v>
      </c>
      <c r="L52" s="123">
        <f t="shared" si="1"/>
        <v>0</v>
      </c>
      <c r="M52" s="123">
        <f t="shared" si="1"/>
        <v>0</v>
      </c>
      <c r="N52" s="123">
        <f t="shared" si="1"/>
        <v>0</v>
      </c>
      <c r="O52" s="123">
        <f t="shared" si="1"/>
        <v>0</v>
      </c>
    </row>
    <row r="53" spans="1:15" s="120" customFormat="1" ht="20.149999999999999" hidden="1" customHeight="1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</row>
    <row r="54" spans="1:15" s="120" customFormat="1" ht="20.149999999999999" hidden="1" customHeight="1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</row>
    <row r="55" spans="1:15" s="120" customFormat="1" ht="20.149999999999999" hidden="1" customHeight="1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</row>
    <row r="56" spans="1:15" s="120" customFormat="1" ht="20.149999999999999" hidden="1" customHeight="1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</row>
    <row r="57" spans="1:15" s="120" customFormat="1" ht="20.149999999999999" hidden="1" customHeight="1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</row>
    <row r="58" spans="1:15" s="120" customFormat="1" ht="20.149999999999999" hidden="1" customHeight="1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</row>
    <row r="59" spans="1:15" s="120" customFormat="1" ht="20.149999999999999" hidden="1" customHeight="1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</row>
    <row r="60" spans="1:15" s="120" customFormat="1" ht="20.149999999999999" hidden="1" customHeight="1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</row>
    <row r="61" spans="1:15" ht="20.149999999999999" hidden="1" customHeight="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</row>
    <row r="62" spans="1:15" s="125" customFormat="1" ht="20.149999999999999" hidden="1" customHeight="1" thickBot="1">
      <c r="A62" s="125">
        <f>ROW(회계보고서!B5)</f>
        <v>5</v>
      </c>
      <c r="E62" s="48">
        <f>ROW(회계보고서!F5)</f>
        <v>5</v>
      </c>
    </row>
    <row r="63" spans="1:15" s="125" customFormat="1" ht="20.149999999999999" hidden="1" customHeight="1">
      <c r="A63" s="126" t="s">
        <v>171</v>
      </c>
      <c r="B63" s="125" t="s">
        <v>174</v>
      </c>
      <c r="C63" s="48" t="s">
        <v>172</v>
      </c>
      <c r="D63" s="127" t="s">
        <v>173</v>
      </c>
      <c r="E63" s="126">
        <f>IF(LEN(A31)&gt;0,E62+1,0)</f>
        <v>6</v>
      </c>
      <c r="F63" s="125" t="str">
        <f t="shared" ref="F63:F78" si="2">IF(LEN(A31)&gt;0,A31,"")</f>
        <v>생일간식</v>
      </c>
      <c r="G63" s="48">
        <f>IF(SUM(E63:E82)&gt;0,MIN(E63:E82))</f>
        <v>6</v>
      </c>
      <c r="H63" s="127" t="str">
        <f>IF(SUM(E63:E82)&gt;0,A30)</f>
        <v>간식/식대비</v>
      </c>
    </row>
    <row r="64" spans="1:15" s="125" customFormat="1" ht="20.149999999999999" hidden="1" customHeight="1">
      <c r="A64" s="128" t="s">
        <v>175</v>
      </c>
      <c r="B64" s="125" t="s">
        <v>176</v>
      </c>
      <c r="C64" s="48"/>
      <c r="D64" s="48"/>
      <c r="E64" s="128">
        <f>IF(LEN(A32)&gt;0,MAX($E$63:E63)+1,"")</f>
        <v>7</v>
      </c>
      <c r="F64" s="125" t="str">
        <f t="shared" si="2"/>
        <v>임원식사</v>
      </c>
      <c r="G64" s="48"/>
      <c r="H64" s="48"/>
    </row>
    <row r="65" spans="1:8" s="125" customFormat="1" ht="20.149999999999999" hidden="1" customHeight="1">
      <c r="A65" s="128" t="s">
        <v>177</v>
      </c>
      <c r="B65" s="125" t="s">
        <v>178</v>
      </c>
      <c r="C65" s="48"/>
      <c r="D65" s="48"/>
      <c r="E65" s="128">
        <f>IF(LEN(A33)&gt;0,MAX($E$63:E64)+1,"")</f>
        <v>8</v>
      </c>
      <c r="F65" s="125" t="str">
        <f t="shared" si="2"/>
        <v>기도회간식</v>
      </c>
      <c r="G65" s="48"/>
      <c r="H65" s="48"/>
    </row>
    <row r="66" spans="1:8" s="125" customFormat="1" ht="20.149999999999999" hidden="1" customHeight="1">
      <c r="A66" s="128" t="s">
        <v>179</v>
      </c>
      <c r="B66" s="125" t="s">
        <v>180</v>
      </c>
      <c r="C66" s="48"/>
      <c r="D66" s="48"/>
      <c r="E66" s="128">
        <f>IF(LEN(A34)&gt;0,MAX($E$63:E65)+1,"")</f>
        <v>9</v>
      </c>
      <c r="F66" s="125" t="str">
        <f t="shared" si="2"/>
        <v>월례회간식</v>
      </c>
      <c r="G66" s="48"/>
      <c r="H66" s="48"/>
    </row>
    <row r="67" spans="1:8" s="125" customFormat="1" ht="20.149999999999999" hidden="1" customHeight="1">
      <c r="A67" s="128" t="s">
        <v>181</v>
      </c>
      <c r="B67" s="125" t="s">
        <v>182</v>
      </c>
      <c r="C67" s="48"/>
      <c r="D67" s="48"/>
      <c r="E67" s="128">
        <f>IF(LEN(A35)&gt;0,MAX($E$63:E66)+1,"")</f>
        <v>10</v>
      </c>
      <c r="F67" s="125" t="str">
        <f t="shared" si="2"/>
        <v>감사해요</v>
      </c>
      <c r="G67" s="48"/>
      <c r="H67" s="48"/>
    </row>
    <row r="68" spans="1:8" s="125" customFormat="1" ht="20.149999999999999" hidden="1" customHeight="1">
      <c r="A68" s="128" t="s">
        <v>183</v>
      </c>
      <c r="B68" s="125" t="s">
        <v>184</v>
      </c>
      <c r="C68" s="48"/>
      <c r="D68" s="48"/>
      <c r="E68" s="128" t="str">
        <f>IF(LEN(A36)&gt;0,MAX($E$63:E67)+1,"")</f>
        <v/>
      </c>
      <c r="F68" s="125" t="str">
        <f t="shared" si="2"/>
        <v/>
      </c>
      <c r="G68" s="48"/>
      <c r="H68" s="48"/>
    </row>
    <row r="69" spans="1:8" s="125" customFormat="1" ht="20.149999999999999" hidden="1" customHeight="1">
      <c r="A69" s="128" t="s">
        <v>185</v>
      </c>
      <c r="B69" s="125" t="s">
        <v>186</v>
      </c>
      <c r="C69" s="48"/>
      <c r="D69" s="48"/>
      <c r="E69" s="128" t="str">
        <f>IF(LEN(A37)&gt;0,MAX($E$63:E68)+1,"")</f>
        <v/>
      </c>
      <c r="F69" s="125" t="str">
        <f t="shared" si="2"/>
        <v/>
      </c>
      <c r="G69" s="48"/>
      <c r="H69" s="48"/>
    </row>
    <row r="70" spans="1:8" s="125" customFormat="1" ht="20.149999999999999" hidden="1" customHeight="1">
      <c r="A70" s="128" t="s">
        <v>187</v>
      </c>
      <c r="B70" s="125" t="s">
        <v>188</v>
      </c>
      <c r="C70" s="48"/>
      <c r="D70" s="48"/>
      <c r="E70" s="128" t="str">
        <f>IF(LEN(A38)&gt;0,MAX($E$63:E69)+1,"")</f>
        <v/>
      </c>
      <c r="F70" s="125" t="str">
        <f t="shared" si="2"/>
        <v/>
      </c>
      <c r="G70" s="48"/>
      <c r="H70" s="48"/>
    </row>
    <row r="71" spans="1:8" s="125" customFormat="1" ht="20.149999999999999" hidden="1" customHeight="1">
      <c r="A71" s="128" t="s">
        <v>189</v>
      </c>
      <c r="B71" s="125" t="s">
        <v>190</v>
      </c>
      <c r="C71" s="48"/>
      <c r="D71" s="48"/>
      <c r="E71" s="128" t="str">
        <f>IF(LEN(A39)&gt;0,MAX($E$63:E70)+1,"")</f>
        <v/>
      </c>
      <c r="F71" s="125" t="str">
        <f t="shared" si="2"/>
        <v/>
      </c>
      <c r="G71" s="48"/>
      <c r="H71" s="48"/>
    </row>
    <row r="72" spans="1:8" s="125" customFormat="1" ht="20.149999999999999" hidden="1" customHeight="1">
      <c r="A72" s="128" t="s">
        <v>191</v>
      </c>
      <c r="B72" s="125" t="s">
        <v>192</v>
      </c>
      <c r="C72" s="48"/>
      <c r="D72" s="48"/>
      <c r="E72" s="128" t="str">
        <f>IF(LEN(A40)&gt;0,MAX($E$63:E71)+1,"")</f>
        <v/>
      </c>
      <c r="F72" s="125" t="str">
        <f t="shared" si="2"/>
        <v/>
      </c>
      <c r="G72" s="48"/>
      <c r="H72" s="48"/>
    </row>
    <row r="73" spans="1:8" s="125" customFormat="1" ht="20.149999999999999" hidden="1" customHeight="1">
      <c r="A73" s="128" t="s">
        <v>193</v>
      </c>
      <c r="B73" s="125" t="s">
        <v>194</v>
      </c>
      <c r="C73" s="48"/>
      <c r="D73" s="48"/>
      <c r="E73" s="128" t="str">
        <f>IF(LEN(A41)&gt;0,MAX($E$63:E72)+1,"")</f>
        <v/>
      </c>
      <c r="F73" s="125" t="str">
        <f t="shared" si="2"/>
        <v/>
      </c>
      <c r="G73" s="48"/>
      <c r="H73" s="48"/>
    </row>
    <row r="74" spans="1:8" s="125" customFormat="1" ht="20.149999999999999" hidden="1" customHeight="1">
      <c r="A74" s="128" t="s">
        <v>195</v>
      </c>
      <c r="B74" s="125" t="s">
        <v>196</v>
      </c>
      <c r="C74" s="48"/>
      <c r="D74" s="48"/>
      <c r="E74" s="128" t="str">
        <f>IF(LEN(A42)&gt;0,MAX($E$63:E73)+1,"")</f>
        <v/>
      </c>
      <c r="F74" s="125" t="str">
        <f t="shared" si="2"/>
        <v/>
      </c>
      <c r="G74" s="48"/>
      <c r="H74" s="48"/>
    </row>
    <row r="75" spans="1:8" s="125" customFormat="1" ht="20.149999999999999" hidden="1" customHeight="1">
      <c r="A75" s="128" t="s">
        <v>197</v>
      </c>
      <c r="B75" s="125" t="s">
        <v>198</v>
      </c>
      <c r="C75" s="48"/>
      <c r="D75" s="48"/>
      <c r="E75" s="128" t="str">
        <f>IF(LEN(A43)&gt;0,MAX($E$63:E74)+1,"")</f>
        <v/>
      </c>
      <c r="F75" s="125" t="str">
        <f t="shared" si="2"/>
        <v/>
      </c>
      <c r="G75" s="48"/>
      <c r="H75" s="48"/>
    </row>
    <row r="76" spans="1:8" s="125" customFormat="1" ht="20.149999999999999" hidden="1" customHeight="1">
      <c r="A76" s="128" t="s">
        <v>199</v>
      </c>
      <c r="B76" s="125" t="s">
        <v>200</v>
      </c>
      <c r="C76" s="48"/>
      <c r="D76" s="48"/>
      <c r="E76" s="128" t="str">
        <f>IF(LEN(A44)&gt;0,MAX($E$63:E75)+1,"")</f>
        <v/>
      </c>
      <c r="F76" s="125" t="str">
        <f t="shared" si="2"/>
        <v/>
      </c>
      <c r="G76" s="48"/>
      <c r="H76" s="48"/>
    </row>
    <row r="77" spans="1:8" s="125" customFormat="1" ht="20.149999999999999" hidden="1" customHeight="1">
      <c r="A77" s="128" t="s">
        <v>201</v>
      </c>
      <c r="B77" s="125" t="s">
        <v>202</v>
      </c>
      <c r="C77" s="48"/>
      <c r="D77" s="48"/>
      <c r="E77" s="128" t="str">
        <f>IF(LEN(A45)&gt;0,MAX($E$63:E76)+1,"")</f>
        <v/>
      </c>
      <c r="F77" s="125" t="str">
        <f t="shared" si="2"/>
        <v/>
      </c>
      <c r="G77" s="48"/>
      <c r="H77" s="48"/>
    </row>
    <row r="78" spans="1:8" s="125" customFormat="1" ht="20.149999999999999" hidden="1" customHeight="1">
      <c r="A78" s="128" t="s">
        <v>203</v>
      </c>
      <c r="B78" s="125" t="s">
        <v>204</v>
      </c>
      <c r="C78" s="48"/>
      <c r="D78" s="48"/>
      <c r="E78" s="128" t="str">
        <f>IF(LEN(A46)&gt;0,MAX($E$63:E77)+1,"")</f>
        <v/>
      </c>
      <c r="F78" s="125" t="str">
        <f t="shared" si="2"/>
        <v/>
      </c>
      <c r="G78" s="48"/>
      <c r="H78" s="48"/>
    </row>
    <row r="79" spans="1:8" s="125" customFormat="1" ht="20.149999999999999" hidden="1" customHeight="1">
      <c r="A79" s="128" t="s">
        <v>205</v>
      </c>
      <c r="B79" s="125" t="s">
        <v>206</v>
      </c>
      <c r="C79" s="48"/>
      <c r="D79" s="48"/>
      <c r="E79" s="128" t="str">
        <f>IF(LEN(A47)&gt;0,MAX($E$63:E78)+1,"")</f>
        <v/>
      </c>
      <c r="F79" s="125" t="str">
        <f t="shared" ref="F79:F82" si="3">IF(LEN(A47)&gt;0,A47,"")</f>
        <v/>
      </c>
      <c r="G79" s="48"/>
      <c r="H79" s="48"/>
    </row>
    <row r="80" spans="1:8" s="125" customFormat="1" ht="20.149999999999999" hidden="1" customHeight="1">
      <c r="A80" s="128" t="s">
        <v>207</v>
      </c>
      <c r="B80" s="125" t="s">
        <v>208</v>
      </c>
      <c r="C80" s="48"/>
      <c r="D80" s="48"/>
      <c r="E80" s="128" t="str">
        <f>IF(LEN(A48)&gt;0,MAX($E$63:E79)+1,"")</f>
        <v/>
      </c>
      <c r="F80" s="125" t="str">
        <f t="shared" si="3"/>
        <v/>
      </c>
      <c r="G80" s="48"/>
      <c r="H80" s="48"/>
    </row>
    <row r="81" spans="1:8" s="125" customFormat="1" ht="20.149999999999999" hidden="1" customHeight="1">
      <c r="A81" s="128" t="s">
        <v>209</v>
      </c>
      <c r="B81" s="125" t="s">
        <v>210</v>
      </c>
      <c r="C81" s="48"/>
      <c r="D81" s="48"/>
      <c r="E81" s="128" t="str">
        <f>IF(LEN(A49)&gt;0,MAX($E$63:E80)+1,"")</f>
        <v/>
      </c>
      <c r="F81" s="125" t="str">
        <f t="shared" si="3"/>
        <v/>
      </c>
      <c r="G81" s="48"/>
      <c r="H81" s="48"/>
    </row>
    <row r="82" spans="1:8" s="125" customFormat="1" ht="20.149999999999999" hidden="1" customHeight="1">
      <c r="A82" s="128" t="s">
        <v>211</v>
      </c>
      <c r="B82" s="125" t="s">
        <v>212</v>
      </c>
      <c r="C82" s="48"/>
      <c r="D82" s="48"/>
      <c r="E82" s="128" t="str">
        <f>IF(LEN(A50)&gt;0,MAX($E$63:E81)+1,"")</f>
        <v/>
      </c>
      <c r="F82" s="125" t="str">
        <f t="shared" si="3"/>
        <v/>
      </c>
      <c r="G82" s="48"/>
      <c r="H82" s="48"/>
    </row>
    <row r="83" spans="1:8" s="125" customFormat="1" ht="20.149999999999999" hidden="1" customHeight="1">
      <c r="A83" s="129">
        <f>IF(LEN(A6)&gt;0,A62+1,0)</f>
        <v>6</v>
      </c>
      <c r="B83" s="125" t="str">
        <f t="shared" ref="B83:B102" si="4">IF(LEN(B6)&gt;0,B6,"")</f>
        <v>교회지원금</v>
      </c>
      <c r="C83" s="48">
        <f>IF(SUM(A83:A102)&gt;0,MIN(A83:A102))</f>
        <v>6</v>
      </c>
      <c r="D83" s="127" t="str">
        <f>IF(SUM(A83:A102)&gt;0,B5)</f>
        <v>교회보조금</v>
      </c>
      <c r="E83" s="129">
        <f>IF(LEN(B31)&gt;0,MAX($E$63:E82)+1,"")</f>
        <v>11</v>
      </c>
      <c r="F83" s="125" t="str">
        <f>IF(LEN(B31)&gt;0,B31,"")</f>
        <v>새가족선물</v>
      </c>
      <c r="G83" s="48">
        <f>IF(SUM(E83:E102)&gt;0,MIN(E83:E102))</f>
        <v>11</v>
      </c>
      <c r="H83" s="127" t="str">
        <f>IF(SUM(E83:E102)&gt;0,B30)</f>
        <v>시상/선물</v>
      </c>
    </row>
    <row r="84" spans="1:8" s="125" customFormat="1" ht="20.149999999999999" hidden="1" customHeight="1">
      <c r="A84" s="129">
        <f>IF(LEN(B7)&gt;0,MAX(A$63:$A83)+1,"")</f>
        <v>7</v>
      </c>
      <c r="B84" s="125" t="str">
        <f t="shared" si="4"/>
        <v>재배정금</v>
      </c>
      <c r="C84" s="48"/>
      <c r="D84" s="48"/>
      <c r="E84" s="129">
        <f>IF(LEN(B32)&gt;0,MAX($E$63:E83)+1,"")</f>
        <v>12</v>
      </c>
      <c r="F84" s="125" t="str">
        <f>IF(LEN(B32)&gt;0,B32,"")</f>
        <v>생일자선물</v>
      </c>
      <c r="G84" s="48"/>
      <c r="H84" s="48"/>
    </row>
    <row r="85" spans="1:8" s="125" customFormat="1" ht="20.149999999999999" hidden="1" customHeight="1">
      <c r="A85" s="129" t="str">
        <f>IF(LEN(B8)&gt;0,MAX(A$63:$A84)+1,"")</f>
        <v/>
      </c>
      <c r="B85" s="125" t="str">
        <f t="shared" si="4"/>
        <v/>
      </c>
      <c r="C85" s="48"/>
      <c r="D85" s="48"/>
      <c r="E85" s="129">
        <f>IF(LEN(B33)&gt;0,MAX($E$63:E84)+1,"")</f>
        <v>13</v>
      </c>
      <c r="F85" s="125" t="str">
        <f t="shared" ref="F85:F102" si="5">IF(LEN(B33)&gt;0,B33,"")</f>
        <v>교역자선물</v>
      </c>
      <c r="G85" s="48"/>
      <c r="H85" s="48"/>
    </row>
    <row r="86" spans="1:8" s="125" customFormat="1" ht="20.149999999999999" hidden="1" customHeight="1">
      <c r="A86" s="129" t="str">
        <f>IF(LEN(B9)&gt;0,MAX(A$63:$A85)+1,"")</f>
        <v/>
      </c>
      <c r="B86" s="125" t="str">
        <f t="shared" si="4"/>
        <v/>
      </c>
      <c r="C86" s="48"/>
      <c r="D86" s="48"/>
      <c r="E86" s="129">
        <f>IF(LEN(B34)&gt;0,MAX($E$63:E85)+1,"")</f>
        <v>14</v>
      </c>
      <c r="F86" s="125" t="str">
        <f t="shared" si="5"/>
        <v>기타시상</v>
      </c>
      <c r="G86" s="48"/>
      <c r="H86" s="48"/>
    </row>
    <row r="87" spans="1:8" s="125" customFormat="1" ht="20.149999999999999" hidden="1" customHeight="1">
      <c r="A87" s="129" t="str">
        <f>IF(LEN(B10)&gt;0,MAX(A$63:$A86)+1,"")</f>
        <v/>
      </c>
      <c r="B87" s="125" t="str">
        <f t="shared" si="4"/>
        <v/>
      </c>
      <c r="C87" s="48"/>
      <c r="D87" s="48"/>
      <c r="E87" s="129" t="str">
        <f>IF(LEN(B35)&gt;0,MAX($E$63:E86)+1,"")</f>
        <v/>
      </c>
      <c r="F87" s="125" t="str">
        <f t="shared" si="5"/>
        <v/>
      </c>
      <c r="G87" s="48"/>
      <c r="H87" s="48"/>
    </row>
    <row r="88" spans="1:8" s="125" customFormat="1" ht="20.149999999999999" hidden="1" customHeight="1">
      <c r="A88" s="129" t="str">
        <f>IF(LEN(B11)&gt;0,MAX(A$63:$A87)+1,"")</f>
        <v/>
      </c>
      <c r="B88" s="125" t="str">
        <f t="shared" si="4"/>
        <v/>
      </c>
      <c r="C88" s="48"/>
      <c r="D88" s="48"/>
      <c r="E88" s="129" t="str">
        <f>IF(LEN(B36)&gt;0,MAX($E$63:E87)+1,"")</f>
        <v/>
      </c>
      <c r="F88" s="125" t="str">
        <f t="shared" si="5"/>
        <v/>
      </c>
      <c r="G88" s="48"/>
      <c r="H88" s="48"/>
    </row>
    <row r="89" spans="1:8" s="125" customFormat="1" ht="20.149999999999999" hidden="1" customHeight="1">
      <c r="A89" s="129" t="str">
        <f>IF(LEN(B12)&gt;0,MAX(A$63:$A88)+1,"")</f>
        <v/>
      </c>
      <c r="B89" s="125" t="str">
        <f t="shared" si="4"/>
        <v/>
      </c>
      <c r="C89" s="48"/>
      <c r="D89" s="48"/>
      <c r="E89" s="129" t="str">
        <f>IF(LEN(B37)&gt;0,MAX($E$63:E88)+1,"")</f>
        <v/>
      </c>
      <c r="F89" s="125" t="str">
        <f t="shared" si="5"/>
        <v/>
      </c>
      <c r="G89" s="48"/>
      <c r="H89" s="48"/>
    </row>
    <row r="90" spans="1:8" s="125" customFormat="1" ht="20.149999999999999" hidden="1" customHeight="1">
      <c r="A90" s="129" t="str">
        <f>IF(LEN(B13)&gt;0,MAX(A$63:$A89)+1,"")</f>
        <v/>
      </c>
      <c r="B90" s="125" t="str">
        <f t="shared" si="4"/>
        <v/>
      </c>
      <c r="C90" s="48"/>
      <c r="D90" s="48"/>
      <c r="E90" s="129" t="str">
        <f>IF(LEN(B38)&gt;0,MAX($E$63:E89)+1,"")</f>
        <v/>
      </c>
      <c r="F90" s="125" t="str">
        <f t="shared" si="5"/>
        <v/>
      </c>
      <c r="G90" s="48"/>
      <c r="H90" s="48"/>
    </row>
    <row r="91" spans="1:8" s="125" customFormat="1" ht="20.149999999999999" hidden="1" customHeight="1">
      <c r="A91" s="129" t="str">
        <f>IF(LEN(B14)&gt;0,MAX(A$63:$A90)+1,"")</f>
        <v/>
      </c>
      <c r="B91" s="125" t="str">
        <f t="shared" si="4"/>
        <v/>
      </c>
      <c r="C91" s="48"/>
      <c r="D91" s="48"/>
      <c r="E91" s="129" t="str">
        <f>IF(LEN(B39)&gt;0,MAX($E$63:E90)+1,"")</f>
        <v/>
      </c>
      <c r="F91" s="125" t="str">
        <f t="shared" si="5"/>
        <v/>
      </c>
      <c r="G91" s="48"/>
      <c r="H91" s="48"/>
    </row>
    <row r="92" spans="1:8" s="125" customFormat="1" ht="20.149999999999999" hidden="1" customHeight="1">
      <c r="A92" s="129" t="str">
        <f>IF(LEN(B15)&gt;0,MAX(A$63:$A91)+1,"")</f>
        <v/>
      </c>
      <c r="B92" s="125" t="str">
        <f t="shared" si="4"/>
        <v/>
      </c>
      <c r="C92" s="48"/>
      <c r="D92" s="48"/>
      <c r="E92" s="129" t="str">
        <f>IF(LEN(B40)&gt;0,MAX($E$63:E91)+1,"")</f>
        <v/>
      </c>
      <c r="F92" s="125" t="str">
        <f t="shared" si="5"/>
        <v/>
      </c>
      <c r="G92" s="48"/>
      <c r="H92" s="48"/>
    </row>
    <row r="93" spans="1:8" s="125" customFormat="1" ht="20.149999999999999" hidden="1" customHeight="1">
      <c r="A93" s="129" t="str">
        <f>IF(LEN(B16)&gt;0,MAX(A$63:$A92)+1,"")</f>
        <v/>
      </c>
      <c r="B93" s="125" t="str">
        <f t="shared" si="4"/>
        <v/>
      </c>
      <c r="C93" s="48"/>
      <c r="D93" s="48"/>
      <c r="E93" s="129" t="str">
        <f>IF(LEN(B41)&gt;0,MAX($E$63:E92)+1,"")</f>
        <v/>
      </c>
      <c r="F93" s="125" t="str">
        <f t="shared" si="5"/>
        <v/>
      </c>
      <c r="G93" s="48"/>
      <c r="H93" s="48"/>
    </row>
    <row r="94" spans="1:8" s="125" customFormat="1" ht="20.149999999999999" hidden="1" customHeight="1">
      <c r="A94" s="129" t="str">
        <f>IF(LEN(B17)&gt;0,MAX(A$63:$A93)+1,"")</f>
        <v/>
      </c>
      <c r="B94" s="125" t="str">
        <f t="shared" si="4"/>
        <v/>
      </c>
      <c r="C94" s="48"/>
      <c r="D94" s="48"/>
      <c r="E94" s="129" t="str">
        <f>IF(LEN(B42)&gt;0,MAX($E$63:E93)+1,"")</f>
        <v/>
      </c>
      <c r="F94" s="125" t="str">
        <f t="shared" si="5"/>
        <v/>
      </c>
      <c r="G94" s="48"/>
      <c r="H94" s="48"/>
    </row>
    <row r="95" spans="1:8" s="125" customFormat="1" ht="20.149999999999999" hidden="1" customHeight="1">
      <c r="A95" s="129" t="str">
        <f>IF(LEN(B18)&gt;0,MAX(A$63:$A94)+1,"")</f>
        <v/>
      </c>
      <c r="B95" s="125" t="str">
        <f t="shared" si="4"/>
        <v/>
      </c>
      <c r="C95" s="48"/>
      <c r="D95" s="48"/>
      <c r="E95" s="129" t="str">
        <f>IF(LEN(B43)&gt;0,MAX($E$63:E94)+1,"")</f>
        <v/>
      </c>
      <c r="F95" s="125" t="str">
        <f t="shared" si="5"/>
        <v/>
      </c>
      <c r="G95" s="48"/>
      <c r="H95" s="48"/>
    </row>
    <row r="96" spans="1:8" s="125" customFormat="1" ht="20.149999999999999" hidden="1" customHeight="1">
      <c r="A96" s="129" t="str">
        <f>IF(LEN(B19)&gt;0,MAX(A$63:$A95)+1,"")</f>
        <v/>
      </c>
      <c r="B96" s="125" t="str">
        <f t="shared" si="4"/>
        <v/>
      </c>
      <c r="C96" s="48"/>
      <c r="D96" s="48"/>
      <c r="E96" s="129" t="str">
        <f>IF(LEN(B44)&gt;0,MAX($E$63:E95)+1,"")</f>
        <v/>
      </c>
      <c r="F96" s="125" t="str">
        <f t="shared" si="5"/>
        <v/>
      </c>
      <c r="G96" s="48"/>
      <c r="H96" s="48"/>
    </row>
    <row r="97" spans="1:16" s="125" customFormat="1" ht="20.149999999999999" hidden="1" customHeight="1">
      <c r="A97" s="129" t="str">
        <f>IF(LEN(B20)&gt;0,MAX(A$63:$A96)+1,"")</f>
        <v/>
      </c>
      <c r="B97" s="125" t="str">
        <f t="shared" si="4"/>
        <v/>
      </c>
      <c r="C97" s="48"/>
      <c r="D97" s="48"/>
      <c r="E97" s="129" t="str">
        <f>IF(LEN(B45)&gt;0,MAX($E$63:E96)+1,"")</f>
        <v/>
      </c>
      <c r="F97" s="125" t="str">
        <f t="shared" si="5"/>
        <v/>
      </c>
      <c r="G97" s="48"/>
      <c r="H97" s="48"/>
    </row>
    <row r="98" spans="1:16" s="125" customFormat="1" ht="20.149999999999999" hidden="1" customHeight="1">
      <c r="A98" s="129" t="str">
        <f>IF(LEN(B21)&gt;0,MAX(A$63:$A97)+1,"")</f>
        <v/>
      </c>
      <c r="B98" s="125" t="str">
        <f t="shared" si="4"/>
        <v/>
      </c>
      <c r="C98" s="48"/>
      <c r="D98" s="48"/>
      <c r="E98" s="129" t="str">
        <f>IF(LEN(B46)&gt;0,MAX($E$63:E97)+1,"")</f>
        <v/>
      </c>
      <c r="F98" s="125" t="str">
        <f t="shared" si="5"/>
        <v/>
      </c>
      <c r="G98" s="48"/>
      <c r="H98" s="48"/>
    </row>
    <row r="99" spans="1:16" ht="20.149999999999999" hidden="1" customHeight="1">
      <c r="A99" s="129" t="str">
        <f>IF(LEN(B22)&gt;0,MAX(A$63:$A98)+1,"")</f>
        <v/>
      </c>
      <c r="B99" s="125" t="str">
        <f t="shared" si="4"/>
        <v/>
      </c>
      <c r="C99" s="48"/>
      <c r="D99" s="124"/>
      <c r="E99" s="129" t="str">
        <f>IF(LEN(B47)&gt;0,MAX($E$63:E98)+1,"")</f>
        <v/>
      </c>
      <c r="F99" s="125" t="str">
        <f t="shared" si="5"/>
        <v/>
      </c>
      <c r="G99" s="48"/>
      <c r="H99" s="124"/>
      <c r="I99" s="119"/>
      <c r="M99" s="121"/>
      <c r="N99" s="121"/>
      <c r="O99" s="121"/>
      <c r="P99" s="121"/>
    </row>
    <row r="100" spans="1:16" ht="20.149999999999999" hidden="1" customHeight="1">
      <c r="A100" s="129" t="str">
        <f>IF(LEN(B23)&gt;0,MAX(A$63:$A99)+1,"")</f>
        <v/>
      </c>
      <c r="B100" s="125" t="str">
        <f t="shared" si="4"/>
        <v/>
      </c>
      <c r="C100" s="48"/>
      <c r="D100" s="124"/>
      <c r="E100" s="129" t="str">
        <f>IF(LEN(B48)&gt;0,MAX($E$63:E99)+1,"")</f>
        <v/>
      </c>
      <c r="F100" s="125" t="str">
        <f t="shared" si="5"/>
        <v/>
      </c>
      <c r="G100" s="48"/>
      <c r="H100" s="124"/>
      <c r="I100" s="119"/>
      <c r="M100" s="121"/>
      <c r="N100" s="121"/>
      <c r="O100" s="121"/>
      <c r="P100" s="121"/>
    </row>
    <row r="101" spans="1:16" ht="20.149999999999999" hidden="1" customHeight="1">
      <c r="A101" s="129" t="str">
        <f>IF(LEN(B24)&gt;0,MAX(A$63:$A100)+1,"")</f>
        <v/>
      </c>
      <c r="B101" s="125" t="str">
        <f t="shared" si="4"/>
        <v/>
      </c>
      <c r="C101" s="48"/>
      <c r="D101" s="124"/>
      <c r="E101" s="129" t="str">
        <f>IF(LEN(B49)&gt;0,MAX($E$63:E100)+1,"")</f>
        <v/>
      </c>
      <c r="F101" s="125" t="str">
        <f t="shared" si="5"/>
        <v/>
      </c>
      <c r="G101" s="48"/>
      <c r="H101" s="124"/>
      <c r="I101" s="119"/>
      <c r="M101" s="121"/>
      <c r="N101" s="121"/>
      <c r="O101" s="121"/>
      <c r="P101" s="121"/>
    </row>
    <row r="102" spans="1:16" ht="20.149999999999999" hidden="1" customHeight="1">
      <c r="A102" s="129" t="str">
        <f>IF(LEN(B25)&gt;0,MAX(A$63:$A101)+1,"")</f>
        <v/>
      </c>
      <c r="B102" s="125" t="str">
        <f t="shared" si="4"/>
        <v/>
      </c>
      <c r="C102" s="48"/>
      <c r="D102" s="124"/>
      <c r="E102" s="129" t="str">
        <f>IF(LEN(B50)&gt;0,MAX($E$63:E101)+1,"")</f>
        <v/>
      </c>
      <c r="F102" s="125" t="str">
        <f t="shared" si="5"/>
        <v/>
      </c>
      <c r="G102" s="48"/>
      <c r="H102" s="124"/>
      <c r="I102" s="119"/>
      <c r="M102" s="121"/>
      <c r="N102" s="121"/>
      <c r="O102" s="121"/>
      <c r="P102" s="121"/>
    </row>
    <row r="103" spans="1:16" ht="20.149999999999999" hidden="1" customHeight="1">
      <c r="A103" s="129">
        <f>IF(LEN(C6)&gt;0,MAX(A$63:$A102)+1,"")</f>
        <v>8</v>
      </c>
      <c r="B103" s="125" t="str">
        <f t="shared" ref="B103:B122" si="6">IF(LEN(C6)&gt;0,C6,"")</f>
        <v>주일헌금</v>
      </c>
      <c r="C103" s="48">
        <f>IF(SUM(A103:A122)&gt;0,MIN(A103:A122))</f>
        <v>8</v>
      </c>
      <c r="D103" s="127" t="str">
        <f>IF(SUM(A103:A120)&gt;0,C5)</f>
        <v>헌금/회비</v>
      </c>
      <c r="E103" s="129">
        <f>IF(LEN(C31)&gt;0,MAX($E$63:E102)+1,"")</f>
        <v>15</v>
      </c>
      <c r="F103" s="125" t="str">
        <f>IF(LEN(C31)&gt;0,C31,"")</f>
        <v>병문안</v>
      </c>
      <c r="G103" s="48">
        <f>IF(SUM(E103:E122)&gt;0,MIN(E103:E122))</f>
        <v>15</v>
      </c>
      <c r="H103" s="127" t="str">
        <f>IF(SUM(E103:E122)&gt;0,C30)</f>
        <v>심방비</v>
      </c>
      <c r="I103" s="119"/>
      <c r="M103" s="121"/>
      <c r="N103" s="121"/>
      <c r="O103" s="121"/>
      <c r="P103" s="121"/>
    </row>
    <row r="104" spans="1:16" ht="20.149999999999999" hidden="1" customHeight="1">
      <c r="A104" s="129">
        <f>IF(LEN(C7)&gt;0,MAX(A$63:$A103)+1,"")</f>
        <v>9</v>
      </c>
      <c r="B104" s="125" t="str">
        <f t="shared" si="6"/>
        <v>십일조헌금</v>
      </c>
      <c r="C104" s="48"/>
      <c r="D104" s="124"/>
      <c r="E104" s="129">
        <f>IF(LEN(C32)&gt;0,MAX($E$63:E103)+1,"")</f>
        <v>16</v>
      </c>
      <c r="F104" s="125" t="str">
        <f>IF(LEN(C32)&gt;0,C32,"")</f>
        <v>경조사비</v>
      </c>
      <c r="G104" s="48"/>
      <c r="H104" s="124"/>
      <c r="I104" s="119"/>
      <c r="M104" s="121"/>
      <c r="N104" s="121"/>
      <c r="O104" s="121"/>
      <c r="P104" s="121"/>
    </row>
    <row r="105" spans="1:16" ht="20.149999999999999" hidden="1" customHeight="1">
      <c r="A105" s="129">
        <f>IF(LEN(C8)&gt;0,MAX(A$63:$A104)+1,"")</f>
        <v>10</v>
      </c>
      <c r="B105" s="125" t="str">
        <f t="shared" si="6"/>
        <v>감사헌금</v>
      </c>
      <c r="C105" s="48"/>
      <c r="D105" s="124"/>
      <c r="E105" s="129" t="str">
        <f>IF(LEN(C33)&gt;0,MAX($E$63:E104)+1,"")</f>
        <v/>
      </c>
      <c r="F105" s="125" t="str">
        <f t="shared" ref="F105:F122" si="7">IF(LEN(C33)&gt;0,C33,"")</f>
        <v/>
      </c>
      <c r="G105" s="48"/>
      <c r="H105" s="124"/>
      <c r="I105" s="119"/>
      <c r="M105" s="121"/>
      <c r="N105" s="121"/>
      <c r="O105" s="121"/>
      <c r="P105" s="121"/>
    </row>
    <row r="106" spans="1:16" ht="20.149999999999999" hidden="1" customHeight="1">
      <c r="A106" s="129">
        <f>IF(LEN(C9)&gt;0,MAX(A$63:$A105)+1,"")</f>
        <v>11</v>
      </c>
      <c r="B106" s="125" t="str">
        <f t="shared" si="6"/>
        <v>선교헌금</v>
      </c>
      <c r="C106" s="48"/>
      <c r="D106" s="124"/>
      <c r="E106" s="129" t="str">
        <f>IF(LEN(C34)&gt;0,MAX($E$63:E105)+1,"")</f>
        <v/>
      </c>
      <c r="F106" s="125" t="str">
        <f t="shared" si="7"/>
        <v/>
      </c>
      <c r="G106" s="48"/>
      <c r="H106" s="124"/>
      <c r="I106" s="119"/>
      <c r="M106" s="121"/>
      <c r="N106" s="121"/>
      <c r="O106" s="121"/>
      <c r="P106" s="121"/>
    </row>
    <row r="107" spans="1:16" ht="20.149999999999999" hidden="1" customHeight="1">
      <c r="A107" s="129">
        <f>IF(LEN(C10)&gt;0,MAX(A$63:$A106)+1,"")</f>
        <v>12</v>
      </c>
      <c r="B107" s="125" t="str">
        <f t="shared" si="6"/>
        <v>해외선교헌금</v>
      </c>
      <c r="C107" s="48"/>
      <c r="D107" s="124"/>
      <c r="E107" s="129" t="str">
        <f>IF(LEN(C35)&gt;0,MAX($E$63:E106)+1,"")</f>
        <v/>
      </c>
      <c r="F107" s="125" t="str">
        <f t="shared" si="7"/>
        <v/>
      </c>
      <c r="G107" s="48"/>
      <c r="H107" s="124"/>
      <c r="I107" s="119"/>
      <c r="M107" s="121"/>
      <c r="N107" s="121"/>
      <c r="O107" s="121"/>
      <c r="P107" s="121"/>
    </row>
    <row r="108" spans="1:16" ht="20.149999999999999" hidden="1" customHeight="1">
      <c r="A108" s="129">
        <f>IF(LEN(C11)&gt;0,MAX(A$63:$A107)+1,"")</f>
        <v>13</v>
      </c>
      <c r="B108" s="125" t="str">
        <f t="shared" si="6"/>
        <v>기관선교헌금</v>
      </c>
      <c r="C108" s="48"/>
      <c r="D108" s="124"/>
      <c r="E108" s="129" t="str">
        <f>IF(LEN(C36)&gt;0,MAX($E$63:E107)+1,"")</f>
        <v/>
      </c>
      <c r="F108" s="125" t="str">
        <f t="shared" si="7"/>
        <v/>
      </c>
      <c r="G108" s="48"/>
      <c r="H108" s="124"/>
      <c r="I108" s="119"/>
      <c r="M108" s="121"/>
      <c r="N108" s="121"/>
      <c r="O108" s="121"/>
      <c r="P108" s="121"/>
    </row>
    <row r="109" spans="1:16" ht="20.149999999999999" hidden="1" customHeight="1">
      <c r="A109" s="129">
        <f>IF(LEN(C12)&gt;0,MAX(A$63:$A108)+1,"")</f>
        <v>14</v>
      </c>
      <c r="B109" s="125" t="str">
        <f t="shared" si="6"/>
        <v>특별헌금</v>
      </c>
      <c r="C109" s="48"/>
      <c r="D109" s="124"/>
      <c r="E109" s="129" t="str">
        <f>IF(LEN(C37)&gt;0,MAX($E$63:E108)+1,"")</f>
        <v/>
      </c>
      <c r="F109" s="125" t="str">
        <f t="shared" si="7"/>
        <v/>
      </c>
      <c r="G109" s="48"/>
      <c r="H109" s="124"/>
      <c r="I109" s="119"/>
      <c r="M109" s="121"/>
      <c r="N109" s="121"/>
      <c r="O109" s="121"/>
      <c r="P109" s="121"/>
    </row>
    <row r="110" spans="1:16" ht="20.149999999999999" hidden="1" customHeight="1">
      <c r="A110" s="129">
        <f>IF(LEN(C13)&gt;0,MAX(A$63:$A109)+1,"")</f>
        <v>15</v>
      </c>
      <c r="B110" s="125" t="str">
        <f t="shared" si="6"/>
        <v>건축헌금</v>
      </c>
      <c r="C110" s="48"/>
      <c r="D110" s="124"/>
      <c r="E110" s="129" t="str">
        <f>IF(LEN(C38)&gt;0,MAX($E$63:E109)+1,"")</f>
        <v/>
      </c>
      <c r="F110" s="125" t="str">
        <f t="shared" si="7"/>
        <v/>
      </c>
      <c r="G110" s="48"/>
      <c r="H110" s="124"/>
      <c r="I110" s="119"/>
      <c r="M110" s="121"/>
      <c r="N110" s="121"/>
      <c r="O110" s="121"/>
      <c r="P110" s="121"/>
    </row>
    <row r="111" spans="1:16" ht="20.149999999999999" hidden="1" customHeight="1">
      <c r="A111" s="129">
        <f>IF(LEN(C14)&gt;0,MAX(A$63:$A110)+1,"")</f>
        <v>16</v>
      </c>
      <c r="B111" s="125" t="str">
        <f t="shared" si="6"/>
        <v>장학헌금</v>
      </c>
      <c r="C111" s="48"/>
      <c r="D111" s="124"/>
      <c r="E111" s="129" t="str">
        <f>IF(LEN(C39)&gt;0,MAX($E$63:E110)+1,"")</f>
        <v/>
      </c>
      <c r="F111" s="125" t="str">
        <f t="shared" si="7"/>
        <v/>
      </c>
      <c r="G111" s="48"/>
      <c r="H111" s="124"/>
      <c r="I111" s="119"/>
      <c r="M111" s="121"/>
      <c r="N111" s="121"/>
      <c r="O111" s="121"/>
      <c r="P111" s="121"/>
    </row>
    <row r="112" spans="1:16" ht="20.149999999999999" hidden="1" customHeight="1">
      <c r="A112" s="129">
        <f>IF(LEN(C15)&gt;0,MAX(A$63:$A111)+1,"")</f>
        <v>17</v>
      </c>
      <c r="B112" s="125" t="str">
        <f t="shared" si="6"/>
        <v>구역헌금</v>
      </c>
      <c r="C112" s="48"/>
      <c r="D112" s="124"/>
      <c r="E112" s="129" t="str">
        <f>IF(LEN(C40)&gt;0,MAX($E$63:E111)+1,"")</f>
        <v/>
      </c>
      <c r="F112" s="125" t="str">
        <f t="shared" si="7"/>
        <v/>
      </c>
      <c r="G112" s="48"/>
      <c r="H112" s="124"/>
      <c r="I112" s="119"/>
      <c r="M112" s="121"/>
      <c r="N112" s="121"/>
      <c r="O112" s="121"/>
      <c r="P112" s="121"/>
    </row>
    <row r="113" spans="1:16" ht="20.149999999999999" hidden="1" customHeight="1">
      <c r="A113" s="129">
        <f>IF(LEN(C16)&gt;0,MAX(A$63:$A112)+1,"")</f>
        <v>18</v>
      </c>
      <c r="B113" s="125" t="str">
        <f t="shared" si="6"/>
        <v>절기헌금</v>
      </c>
      <c r="C113" s="48"/>
      <c r="D113" s="124"/>
      <c r="E113" s="129" t="str">
        <f>IF(LEN(C41)&gt;0,MAX($E$63:E112)+1,"")</f>
        <v/>
      </c>
      <c r="F113" s="125" t="str">
        <f t="shared" si="7"/>
        <v/>
      </c>
      <c r="G113" s="48"/>
      <c r="H113" s="124"/>
      <c r="I113" s="119"/>
      <c r="M113" s="121"/>
      <c r="N113" s="121"/>
      <c r="O113" s="121"/>
      <c r="P113" s="121"/>
    </row>
    <row r="114" spans="1:16" ht="20.149999999999999" hidden="1" customHeight="1">
      <c r="A114" s="129">
        <f>IF(LEN(C17)&gt;0,MAX(A$63:$A113)+1,"")</f>
        <v>19</v>
      </c>
      <c r="B114" s="125" t="str">
        <f t="shared" si="6"/>
        <v>전도회비</v>
      </c>
      <c r="C114" s="48"/>
      <c r="D114" s="124"/>
      <c r="E114" s="129" t="str">
        <f>IF(LEN(C42)&gt;0,MAX($E$63:E113)+1,"")</f>
        <v/>
      </c>
      <c r="F114" s="125" t="str">
        <f t="shared" si="7"/>
        <v/>
      </c>
      <c r="G114" s="48"/>
      <c r="H114" s="124"/>
      <c r="I114" s="119"/>
      <c r="M114" s="121"/>
      <c r="N114" s="121"/>
      <c r="O114" s="121"/>
      <c r="P114" s="121"/>
    </row>
    <row r="115" spans="1:16" ht="20.149999999999999" hidden="1" customHeight="1">
      <c r="A115" s="129">
        <f>IF(LEN(C18)&gt;0,MAX(A$63:$A114)+1,"")</f>
        <v>20</v>
      </c>
      <c r="B115" s="125" t="str">
        <f t="shared" si="6"/>
        <v>찬양대회비</v>
      </c>
      <c r="C115" s="48"/>
      <c r="D115" s="124"/>
      <c r="E115" s="129" t="str">
        <f>IF(LEN(C43)&gt;0,MAX($E$63:E114)+1,"")</f>
        <v/>
      </c>
      <c r="F115" s="125" t="str">
        <f t="shared" si="7"/>
        <v/>
      </c>
      <c r="G115" s="48"/>
      <c r="H115" s="124"/>
      <c r="I115" s="119"/>
      <c r="M115" s="121"/>
      <c r="N115" s="121"/>
      <c r="O115" s="121"/>
      <c r="P115" s="121"/>
    </row>
    <row r="116" spans="1:16" ht="20.149999999999999" hidden="1" customHeight="1">
      <c r="A116" s="129" t="str">
        <f>IF(LEN(C19)&gt;0,MAX(A$63:$A115)+1,"")</f>
        <v/>
      </c>
      <c r="B116" s="125" t="str">
        <f t="shared" si="6"/>
        <v/>
      </c>
      <c r="C116" s="48"/>
      <c r="D116" s="124"/>
      <c r="E116" s="129" t="str">
        <f>IF(LEN(C44)&gt;0,MAX($E$63:E115)+1,"")</f>
        <v/>
      </c>
      <c r="F116" s="125" t="str">
        <f t="shared" si="7"/>
        <v/>
      </c>
      <c r="G116" s="48"/>
      <c r="H116" s="124"/>
      <c r="I116" s="119"/>
      <c r="M116" s="121"/>
      <c r="N116" s="121"/>
      <c r="O116" s="121"/>
      <c r="P116" s="121"/>
    </row>
    <row r="117" spans="1:16" ht="20.149999999999999" hidden="1" customHeight="1">
      <c r="A117" s="129" t="str">
        <f>IF(LEN(C20)&gt;0,MAX(A$63:$A116)+1,"")</f>
        <v/>
      </c>
      <c r="B117" s="125" t="str">
        <f t="shared" si="6"/>
        <v/>
      </c>
      <c r="C117" s="48"/>
      <c r="D117" s="124"/>
      <c r="E117" s="129" t="str">
        <f>IF(LEN(C45)&gt;0,MAX($E$63:E116)+1,"")</f>
        <v/>
      </c>
      <c r="F117" s="125" t="str">
        <f t="shared" si="7"/>
        <v/>
      </c>
      <c r="G117" s="48"/>
      <c r="H117" s="124"/>
      <c r="I117" s="119"/>
      <c r="M117" s="121"/>
      <c r="N117" s="121"/>
      <c r="O117" s="121"/>
      <c r="P117" s="121"/>
    </row>
    <row r="118" spans="1:16" ht="20.149999999999999" hidden="1" customHeight="1">
      <c r="A118" s="129" t="str">
        <f>IF(LEN(C21)&gt;0,MAX(A$63:$A117)+1,"")</f>
        <v/>
      </c>
      <c r="B118" s="125" t="str">
        <f t="shared" si="6"/>
        <v/>
      </c>
      <c r="C118" s="48"/>
      <c r="D118" s="124"/>
      <c r="E118" s="129" t="str">
        <f>IF(LEN(C46)&gt;0,MAX($E$63:E117)+1,"")</f>
        <v/>
      </c>
      <c r="F118" s="125" t="str">
        <f t="shared" si="7"/>
        <v/>
      </c>
      <c r="G118" s="48"/>
      <c r="H118" s="124"/>
      <c r="I118" s="119"/>
      <c r="M118" s="121"/>
      <c r="N118" s="121"/>
      <c r="O118" s="121"/>
      <c r="P118" s="121"/>
    </row>
    <row r="119" spans="1:16" ht="20.149999999999999" hidden="1" customHeight="1">
      <c r="A119" s="129" t="str">
        <f>IF(LEN(C22)&gt;0,MAX(A$63:$A118)+1,"")</f>
        <v/>
      </c>
      <c r="B119" s="125" t="str">
        <f t="shared" si="6"/>
        <v/>
      </c>
      <c r="C119" s="48"/>
      <c r="D119" s="124"/>
      <c r="E119" s="129" t="str">
        <f>IF(LEN(C47)&gt;0,MAX($E$63:E118)+1,"")</f>
        <v/>
      </c>
      <c r="F119" s="125" t="str">
        <f t="shared" si="7"/>
        <v/>
      </c>
      <c r="G119" s="48"/>
      <c r="H119" s="124"/>
      <c r="I119" s="119"/>
      <c r="M119" s="121"/>
      <c r="N119" s="121"/>
      <c r="O119" s="121"/>
      <c r="P119" s="121"/>
    </row>
    <row r="120" spans="1:16" s="120" customFormat="1" ht="20.149999999999999" hidden="1" customHeight="1">
      <c r="A120" s="129" t="str">
        <f>IF(LEN(C23)&gt;0,MAX(A$63:$A119)+1,"")</f>
        <v/>
      </c>
      <c r="B120" s="125" t="str">
        <f t="shared" si="6"/>
        <v/>
      </c>
      <c r="C120" s="48"/>
      <c r="D120" s="124"/>
      <c r="E120" s="129" t="str">
        <f>IF(LEN(C48)&gt;0,MAX($E$63:E119)+1,"")</f>
        <v/>
      </c>
      <c r="F120" s="125" t="str">
        <f t="shared" si="7"/>
        <v/>
      </c>
      <c r="G120" s="48"/>
      <c r="H120" s="124"/>
      <c r="J120" s="130"/>
      <c r="K120" s="130"/>
      <c r="L120" s="130"/>
      <c r="M120" s="130"/>
      <c r="N120" s="130"/>
      <c r="O120" s="130"/>
      <c r="P120" s="130"/>
    </row>
    <row r="121" spans="1:16" s="120" customFormat="1" ht="20.149999999999999" hidden="1" customHeight="1">
      <c r="A121" s="129" t="str">
        <f>IF(LEN(C24)&gt;0,MAX(A$63:$A120)+1,"")</f>
        <v/>
      </c>
      <c r="B121" s="125" t="str">
        <f t="shared" si="6"/>
        <v/>
      </c>
      <c r="C121" s="48"/>
      <c r="D121" s="124"/>
      <c r="E121" s="129" t="str">
        <f>IF(LEN(C49)&gt;0,MAX($E$63:E120)+1,"")</f>
        <v/>
      </c>
      <c r="F121" s="125" t="str">
        <f t="shared" si="7"/>
        <v/>
      </c>
      <c r="G121" s="48"/>
      <c r="H121" s="124"/>
      <c r="J121" s="130"/>
      <c r="K121" s="130"/>
      <c r="L121" s="130"/>
      <c r="M121" s="130"/>
      <c r="N121" s="130"/>
      <c r="O121" s="130"/>
      <c r="P121" s="130"/>
    </row>
    <row r="122" spans="1:16" s="120" customFormat="1" ht="20.149999999999999" hidden="1" customHeight="1">
      <c r="A122" s="129" t="str">
        <f>IF(LEN(C25)&gt;0,MAX(A$63:$A121)+1,"")</f>
        <v/>
      </c>
      <c r="B122" s="125" t="str">
        <f t="shared" si="6"/>
        <v/>
      </c>
      <c r="C122" s="48"/>
      <c r="D122" s="124"/>
      <c r="E122" s="129" t="str">
        <f>IF(LEN(C50)&gt;0,MAX($E$63:E121)+1,"")</f>
        <v/>
      </c>
      <c r="F122" s="125" t="str">
        <f t="shared" si="7"/>
        <v/>
      </c>
      <c r="G122" s="48"/>
      <c r="H122" s="124"/>
      <c r="J122" s="130"/>
      <c r="K122" s="130"/>
      <c r="L122" s="130"/>
      <c r="M122" s="130"/>
      <c r="N122" s="130"/>
      <c r="O122" s="130"/>
      <c r="P122" s="130"/>
    </row>
    <row r="123" spans="1:16" ht="20.149999999999999" hidden="1" customHeight="1">
      <c r="A123" s="129">
        <f>IF(LEN(D6)&gt;0,MAX(A$63:$A122)+1,"")</f>
        <v>21</v>
      </c>
      <c r="B123" s="125" t="str">
        <f t="shared" ref="B123:B142" si="8">IF(LEN(D6)&gt;0,D6,"")</f>
        <v>예금이자</v>
      </c>
      <c r="C123" s="48">
        <f>IF(SUM(A123:A142)&gt;0,MIN(A123:A142))</f>
        <v>21</v>
      </c>
      <c r="D123" s="127" t="str">
        <f>IF(SUM(A123:A142)&gt;0,D5)</f>
        <v>기타수입</v>
      </c>
      <c r="E123" s="129">
        <f>IF(LEN(D31)&gt;0,MAX($E$63:E122)+1,"")</f>
        <v>17</v>
      </c>
      <c r="F123" s="125" t="str">
        <f>IF(LEN(D31)&gt;0,D31,"")</f>
        <v>특강비</v>
      </c>
      <c r="G123" s="48">
        <f>IF(SUM(E123:E142)&gt;0,MIN(E123:E142))</f>
        <v>17</v>
      </c>
      <c r="H123" s="127" t="str">
        <f>IF(SUM(E123:E142)&gt;0,D30)</f>
        <v>특강/도서구입비</v>
      </c>
      <c r="I123" s="48"/>
      <c r="M123" s="121"/>
      <c r="N123" s="121"/>
      <c r="O123" s="121"/>
      <c r="P123" s="121"/>
    </row>
    <row r="124" spans="1:16" ht="20.149999999999999" hidden="1" customHeight="1">
      <c r="A124" s="129">
        <f>IF(LEN(D7)&gt;0,MAX(A$63:$A123)+1,"")</f>
        <v>22</v>
      </c>
      <c r="B124" s="125" t="str">
        <f t="shared" si="8"/>
        <v>찬조</v>
      </c>
      <c r="C124" s="48"/>
      <c r="D124" s="124"/>
      <c r="E124" s="129">
        <f>IF(LEN(D32)&gt;0,MAX($E$63:E123)+1,"")</f>
        <v>18</v>
      </c>
      <c r="F124" s="125" t="str">
        <f>IF(LEN(D32)&gt;0,D32,"")</f>
        <v>도서구입비</v>
      </c>
      <c r="G124" s="48"/>
      <c r="H124" s="124"/>
      <c r="I124" s="48"/>
      <c r="M124" s="121"/>
      <c r="N124" s="121"/>
      <c r="O124" s="121"/>
      <c r="P124" s="121"/>
    </row>
    <row r="125" spans="1:16" ht="20.149999999999999" hidden="1" customHeight="1">
      <c r="A125" s="129">
        <f>IF(LEN(D8)&gt;0,MAX(A$63:$A124)+1,"")</f>
        <v>23</v>
      </c>
      <c r="B125" s="125" t="str">
        <f t="shared" si="8"/>
        <v>잡수입</v>
      </c>
      <c r="C125" s="48"/>
      <c r="D125" s="124"/>
      <c r="E125" s="129" t="str">
        <f>IF(LEN(D33)&gt;0,MAX($E$63:E124)+1,"")</f>
        <v/>
      </c>
      <c r="F125" s="125" t="str">
        <f t="shared" ref="F125:F142" si="9">IF(LEN(D33)&gt;0,D33,"")</f>
        <v/>
      </c>
      <c r="G125" s="48"/>
      <c r="H125" s="124"/>
      <c r="I125" s="48"/>
      <c r="M125" s="121"/>
      <c r="N125" s="121"/>
      <c r="O125" s="121"/>
      <c r="P125" s="121"/>
    </row>
    <row r="126" spans="1:16" ht="20.149999999999999" hidden="1" customHeight="1">
      <c r="A126" s="129" t="str">
        <f>IF(LEN(D9)&gt;0,MAX(A$63:$A125)+1,"")</f>
        <v/>
      </c>
      <c r="B126" s="125" t="str">
        <f t="shared" si="8"/>
        <v/>
      </c>
      <c r="C126" s="48"/>
      <c r="D126" s="124"/>
      <c r="E126" s="129" t="str">
        <f>IF(LEN(D34)&gt;0,MAX($E$63:E125)+1,"")</f>
        <v/>
      </c>
      <c r="F126" s="125" t="str">
        <f t="shared" si="9"/>
        <v/>
      </c>
      <c r="G126" s="48"/>
      <c r="H126" s="124"/>
      <c r="I126" s="48"/>
      <c r="M126" s="121"/>
      <c r="N126" s="121"/>
      <c r="O126" s="121"/>
      <c r="P126" s="121"/>
    </row>
    <row r="127" spans="1:16" ht="20.149999999999999" hidden="1" customHeight="1">
      <c r="A127" s="129" t="str">
        <f>IF(LEN(D10)&gt;0,MAX(A$63:$A126)+1,"")</f>
        <v/>
      </c>
      <c r="B127" s="125" t="str">
        <f t="shared" si="8"/>
        <v/>
      </c>
      <c r="C127" s="48"/>
      <c r="D127" s="124"/>
      <c r="E127" s="129" t="str">
        <f>IF(LEN(D35)&gt;0,MAX($E$63:E126)+1,"")</f>
        <v/>
      </c>
      <c r="F127" s="125" t="str">
        <f t="shared" si="9"/>
        <v/>
      </c>
      <c r="G127" s="48"/>
      <c r="H127" s="124"/>
      <c r="I127" s="48"/>
      <c r="M127" s="121"/>
      <c r="N127" s="121"/>
      <c r="O127" s="121"/>
      <c r="P127" s="121"/>
    </row>
    <row r="128" spans="1:16" ht="20.149999999999999" hidden="1" customHeight="1">
      <c r="A128" s="129" t="str">
        <f>IF(LEN(D11)&gt;0,MAX(A$63:$A127)+1,"")</f>
        <v/>
      </c>
      <c r="B128" s="125" t="str">
        <f t="shared" si="8"/>
        <v/>
      </c>
      <c r="C128" s="48"/>
      <c r="D128" s="124"/>
      <c r="E128" s="129" t="str">
        <f>IF(LEN(D36)&gt;0,MAX($E$63:E127)+1,"")</f>
        <v/>
      </c>
      <c r="F128" s="125" t="str">
        <f t="shared" si="9"/>
        <v/>
      </c>
      <c r="G128" s="48"/>
      <c r="H128" s="124"/>
      <c r="I128" s="48"/>
      <c r="M128" s="121"/>
      <c r="N128" s="121"/>
      <c r="O128" s="121"/>
      <c r="P128" s="121"/>
    </row>
    <row r="129" spans="1:16" ht="20.149999999999999" hidden="1" customHeight="1">
      <c r="A129" s="129" t="str">
        <f>IF(LEN(D12)&gt;0,MAX(A$63:$A128)+1,"")</f>
        <v/>
      </c>
      <c r="B129" s="125" t="str">
        <f t="shared" si="8"/>
        <v/>
      </c>
      <c r="C129" s="48"/>
      <c r="D129" s="124"/>
      <c r="E129" s="129" t="str">
        <f>IF(LEN(D37)&gt;0,MAX($E$63:E128)+1,"")</f>
        <v/>
      </c>
      <c r="F129" s="125" t="str">
        <f t="shared" si="9"/>
        <v/>
      </c>
      <c r="G129" s="48"/>
      <c r="H129" s="124"/>
      <c r="I129" s="48"/>
      <c r="M129" s="121"/>
      <c r="N129" s="121"/>
      <c r="O129" s="121"/>
      <c r="P129" s="121"/>
    </row>
    <row r="130" spans="1:16" ht="20.149999999999999" hidden="1" customHeight="1">
      <c r="A130" s="129" t="str">
        <f>IF(LEN(D13)&gt;0,MAX(A$63:$A129)+1,"")</f>
        <v/>
      </c>
      <c r="B130" s="125" t="str">
        <f t="shared" si="8"/>
        <v/>
      </c>
      <c r="C130" s="48"/>
      <c r="D130" s="124"/>
      <c r="E130" s="129" t="str">
        <f>IF(LEN(D38)&gt;0,MAX($E$63:E129)+1,"")</f>
        <v/>
      </c>
      <c r="F130" s="125" t="str">
        <f t="shared" si="9"/>
        <v/>
      </c>
      <c r="G130" s="48"/>
      <c r="H130" s="124"/>
      <c r="I130" s="48"/>
      <c r="M130" s="121"/>
      <c r="N130" s="121"/>
      <c r="O130" s="121"/>
      <c r="P130" s="121"/>
    </row>
    <row r="131" spans="1:16" ht="20.149999999999999" hidden="1" customHeight="1">
      <c r="A131" s="129" t="str">
        <f>IF(LEN(D14)&gt;0,MAX(A$63:$A130)+1,"")</f>
        <v/>
      </c>
      <c r="B131" s="125" t="str">
        <f t="shared" si="8"/>
        <v/>
      </c>
      <c r="C131" s="48"/>
      <c r="D131" s="124"/>
      <c r="E131" s="129" t="str">
        <f>IF(LEN(D39)&gt;0,MAX($E$63:E130)+1,"")</f>
        <v/>
      </c>
      <c r="F131" s="125" t="str">
        <f t="shared" si="9"/>
        <v/>
      </c>
      <c r="G131" s="48"/>
      <c r="H131" s="124"/>
      <c r="I131" s="48"/>
      <c r="M131" s="121"/>
      <c r="N131" s="121"/>
      <c r="O131" s="121"/>
      <c r="P131" s="121"/>
    </row>
    <row r="132" spans="1:16" ht="20.149999999999999" hidden="1" customHeight="1">
      <c r="A132" s="129" t="str">
        <f>IF(LEN(D15)&gt;0,MAX(A$63:$A131)+1,"")</f>
        <v/>
      </c>
      <c r="B132" s="125" t="str">
        <f t="shared" si="8"/>
        <v/>
      </c>
      <c r="C132" s="48"/>
      <c r="D132" s="124"/>
      <c r="E132" s="129" t="str">
        <f>IF(LEN(D40)&gt;0,MAX($E$63:E131)+1,"")</f>
        <v/>
      </c>
      <c r="F132" s="125" t="str">
        <f t="shared" si="9"/>
        <v/>
      </c>
      <c r="G132" s="48"/>
      <c r="H132" s="124"/>
      <c r="I132" s="48"/>
      <c r="M132" s="121"/>
      <c r="N132" s="121"/>
      <c r="O132" s="121"/>
      <c r="P132" s="121"/>
    </row>
    <row r="133" spans="1:16" ht="20.149999999999999" hidden="1" customHeight="1">
      <c r="A133" s="129" t="str">
        <f>IF(LEN(D16)&gt;0,MAX(A$63:$A132)+1,"")</f>
        <v/>
      </c>
      <c r="B133" s="125" t="str">
        <f t="shared" si="8"/>
        <v/>
      </c>
      <c r="C133" s="48"/>
      <c r="D133" s="124"/>
      <c r="E133" s="129" t="str">
        <f>IF(LEN(D41)&gt;0,MAX($E$63:E132)+1,"")</f>
        <v/>
      </c>
      <c r="F133" s="125" t="str">
        <f t="shared" si="9"/>
        <v/>
      </c>
      <c r="G133" s="48"/>
      <c r="H133" s="124"/>
      <c r="I133" s="48"/>
      <c r="M133" s="121"/>
      <c r="N133" s="121"/>
      <c r="O133" s="121"/>
      <c r="P133" s="121"/>
    </row>
    <row r="134" spans="1:16" s="120" customFormat="1" ht="20.149999999999999" hidden="1" customHeight="1">
      <c r="A134" s="129" t="str">
        <f>IF(LEN(D17)&gt;0,MAX(A$63:$A133)+1,"")</f>
        <v/>
      </c>
      <c r="B134" s="125" t="str">
        <f t="shared" si="8"/>
        <v/>
      </c>
      <c r="C134" s="48"/>
      <c r="D134" s="124"/>
      <c r="E134" s="129" t="str">
        <f>IF(LEN(D42)&gt;0,MAX($E$63:E133)+1,"")</f>
        <v/>
      </c>
      <c r="F134" s="125" t="str">
        <f t="shared" si="9"/>
        <v/>
      </c>
      <c r="G134" s="48"/>
      <c r="H134" s="124"/>
      <c r="I134" s="48"/>
      <c r="J134" s="130"/>
      <c r="K134" s="130"/>
      <c r="L134" s="130"/>
      <c r="M134" s="130"/>
      <c r="N134" s="130"/>
      <c r="O134" s="130"/>
      <c r="P134" s="130"/>
    </row>
    <row r="135" spans="1:16" ht="20.149999999999999" hidden="1" customHeight="1">
      <c r="A135" s="129" t="str">
        <f>IF(LEN(D18)&gt;0,MAX(A$63:$A134)+1,"")</f>
        <v/>
      </c>
      <c r="B135" s="125" t="str">
        <f t="shared" si="8"/>
        <v/>
      </c>
      <c r="C135" s="48"/>
      <c r="D135" s="124"/>
      <c r="E135" s="129" t="str">
        <f>IF(LEN(D43)&gt;0,MAX($E$63:E134)+1,"")</f>
        <v/>
      </c>
      <c r="F135" s="125" t="str">
        <f t="shared" si="9"/>
        <v/>
      </c>
      <c r="G135" s="48"/>
      <c r="H135" s="124"/>
      <c r="I135" s="48"/>
      <c r="M135" s="121"/>
      <c r="N135" s="121"/>
      <c r="O135" s="121"/>
      <c r="P135" s="121"/>
    </row>
    <row r="136" spans="1:16" ht="20.149999999999999" hidden="1" customHeight="1">
      <c r="A136" s="129" t="str">
        <f>IF(LEN(D19)&gt;0,MAX(A$63:$A135)+1,"")</f>
        <v/>
      </c>
      <c r="B136" s="125" t="str">
        <f t="shared" si="8"/>
        <v/>
      </c>
      <c r="C136" s="48"/>
      <c r="D136" s="124"/>
      <c r="E136" s="129" t="str">
        <f>IF(LEN(D44)&gt;0,MAX($E$63:E135)+1,"")</f>
        <v/>
      </c>
      <c r="F136" s="125" t="str">
        <f t="shared" si="9"/>
        <v/>
      </c>
      <c r="G136" s="48"/>
      <c r="H136" s="124"/>
      <c r="I136" s="48"/>
      <c r="M136" s="121"/>
      <c r="N136" s="121"/>
      <c r="O136" s="121"/>
      <c r="P136" s="121"/>
    </row>
    <row r="137" spans="1:16" ht="20.149999999999999" hidden="1" customHeight="1">
      <c r="A137" s="129" t="str">
        <f>IF(LEN(D20)&gt;0,MAX(A$63:$A136)+1,"")</f>
        <v/>
      </c>
      <c r="B137" s="125" t="str">
        <f t="shared" si="8"/>
        <v/>
      </c>
      <c r="C137" s="48"/>
      <c r="D137" s="124"/>
      <c r="E137" s="129" t="str">
        <f>IF(LEN(D45)&gt;0,MAX($E$63:E136)+1,"")</f>
        <v/>
      </c>
      <c r="F137" s="125" t="str">
        <f t="shared" si="9"/>
        <v/>
      </c>
      <c r="G137" s="48"/>
      <c r="H137" s="124"/>
      <c r="I137" s="48"/>
      <c r="M137" s="121"/>
      <c r="N137" s="121"/>
      <c r="O137" s="121"/>
      <c r="P137" s="121"/>
    </row>
    <row r="138" spans="1:16" s="120" customFormat="1" ht="20.149999999999999" hidden="1" customHeight="1">
      <c r="A138" s="129" t="str">
        <f>IF(LEN(D21)&gt;0,MAX(A$63:$A137)+1,"")</f>
        <v/>
      </c>
      <c r="B138" s="125" t="str">
        <f t="shared" si="8"/>
        <v/>
      </c>
      <c r="C138" s="48"/>
      <c r="D138" s="124"/>
      <c r="E138" s="129" t="str">
        <f>IF(LEN(D46)&gt;0,MAX($E$63:E137)+1,"")</f>
        <v/>
      </c>
      <c r="F138" s="125" t="str">
        <f t="shared" si="9"/>
        <v/>
      </c>
      <c r="G138" s="48"/>
      <c r="H138" s="124"/>
      <c r="I138" s="48"/>
      <c r="J138" s="130"/>
      <c r="K138" s="130"/>
      <c r="L138" s="130"/>
      <c r="M138" s="130"/>
      <c r="N138" s="130"/>
      <c r="O138" s="130"/>
      <c r="P138" s="130"/>
    </row>
    <row r="139" spans="1:16" ht="20.149999999999999" hidden="1" customHeight="1">
      <c r="A139" s="129" t="str">
        <f>IF(LEN(D22)&gt;0,MAX(A$63:$A138)+1,"")</f>
        <v/>
      </c>
      <c r="B139" s="125" t="str">
        <f t="shared" si="8"/>
        <v/>
      </c>
      <c r="C139" s="48"/>
      <c r="D139" s="124"/>
      <c r="E139" s="129" t="str">
        <f>IF(LEN(D47)&gt;0,MAX($E$63:E138)+1,"")</f>
        <v/>
      </c>
      <c r="F139" s="125" t="str">
        <f>IF(LEN(D47)&gt;0,D47,"")</f>
        <v/>
      </c>
      <c r="G139" s="48"/>
      <c r="H139" s="124"/>
      <c r="I139" s="48"/>
      <c r="M139" s="121"/>
      <c r="N139" s="121"/>
      <c r="O139" s="121"/>
      <c r="P139" s="121"/>
    </row>
    <row r="140" spans="1:16" ht="20.149999999999999" hidden="1" customHeight="1">
      <c r="A140" s="129" t="str">
        <f>IF(LEN(D23)&gt;0,MAX(A$63:$A139)+1,"")</f>
        <v/>
      </c>
      <c r="B140" s="125" t="str">
        <f t="shared" si="8"/>
        <v/>
      </c>
      <c r="C140" s="48"/>
      <c r="D140" s="124"/>
      <c r="E140" s="129" t="str">
        <f>IF(LEN(D48)&gt;0,MAX($E$63:E139)+1,"")</f>
        <v/>
      </c>
      <c r="F140" s="125" t="str">
        <f t="shared" si="9"/>
        <v/>
      </c>
      <c r="G140" s="48"/>
      <c r="H140" s="124"/>
      <c r="I140" s="48"/>
      <c r="M140" s="121"/>
      <c r="N140" s="121"/>
      <c r="O140" s="121"/>
      <c r="P140" s="121"/>
    </row>
    <row r="141" spans="1:16" ht="20.149999999999999" hidden="1" customHeight="1">
      <c r="A141" s="129" t="str">
        <f>IF(LEN(D24)&gt;0,MAX(A$63:$A140)+1,"")</f>
        <v/>
      </c>
      <c r="B141" s="125" t="str">
        <f t="shared" si="8"/>
        <v/>
      </c>
      <c r="C141" s="48"/>
      <c r="D141" s="124"/>
      <c r="E141" s="129" t="str">
        <f>IF(LEN(D49)&gt;0,MAX($E$63:E140)+1,"")</f>
        <v/>
      </c>
      <c r="F141" s="125" t="str">
        <f t="shared" si="9"/>
        <v/>
      </c>
      <c r="G141" s="48"/>
      <c r="H141" s="124"/>
      <c r="I141" s="48"/>
      <c r="M141" s="121"/>
      <c r="N141" s="121"/>
      <c r="O141" s="121"/>
      <c r="P141" s="121"/>
    </row>
    <row r="142" spans="1:16" ht="20.149999999999999" hidden="1" customHeight="1">
      <c r="A142" s="129" t="str">
        <f>IF(LEN(D25)&gt;0,MAX(A$63:$A141)+1,"")</f>
        <v/>
      </c>
      <c r="B142" s="125" t="str">
        <f t="shared" si="8"/>
        <v/>
      </c>
      <c r="C142" s="48"/>
      <c r="D142" s="124"/>
      <c r="E142" s="129" t="str">
        <f>IF(LEN(D50)&gt;0,MAX($E$63:E141)+1,"")</f>
        <v/>
      </c>
      <c r="F142" s="125" t="str">
        <f t="shared" si="9"/>
        <v/>
      </c>
      <c r="G142" s="48"/>
      <c r="H142" s="124"/>
      <c r="I142" s="48"/>
      <c r="M142" s="121"/>
      <c r="N142" s="121"/>
      <c r="O142" s="121"/>
      <c r="P142" s="121"/>
    </row>
    <row r="143" spans="1:16" ht="20.149999999999999" hidden="1" customHeight="1">
      <c r="A143" s="129" t="str">
        <f>IF(LEN(E6)&gt;0,MAX(A$63:$A142)+1,"")</f>
        <v/>
      </c>
      <c r="B143" s="125" t="str">
        <f t="shared" ref="B143:B162" si="10">IF(LEN(E6)&gt;0,E6,"")</f>
        <v/>
      </c>
      <c r="C143" s="48" t="b">
        <f>IF(SUM(A143:A162)&gt;0,MIN(A143:A162))</f>
        <v>0</v>
      </c>
      <c r="D143" s="127" t="b">
        <f>IF(SUM(A143:A162)&gt;0,E5)</f>
        <v>0</v>
      </c>
      <c r="E143" s="129">
        <f>IF(LEN(E31)&gt;0,MAX($E$63:E142)+1,"")</f>
        <v>19</v>
      </c>
      <c r="F143" s="125" t="str">
        <f>IF(LEN(E31)&gt;0,E31,"")</f>
        <v>요람제작비</v>
      </c>
      <c r="G143" s="48">
        <f>IF(SUM(E143:E162)&gt;0,MIN(E143:E162))</f>
        <v>19</v>
      </c>
      <c r="H143" s="127" t="str">
        <f>IF(SUM(E143:E162)&gt;0,E30)</f>
        <v>요람/현수막제작비</v>
      </c>
      <c r="I143" s="119"/>
      <c r="M143" s="121"/>
      <c r="N143" s="121"/>
      <c r="O143" s="121"/>
      <c r="P143" s="121"/>
    </row>
    <row r="144" spans="1:16" ht="20.149999999999999" hidden="1" customHeight="1">
      <c r="A144" s="129" t="str">
        <f>IF(LEN(E7)&gt;0,MAX(A$63:$A143)+1,"")</f>
        <v/>
      </c>
      <c r="B144" s="125" t="str">
        <f t="shared" si="10"/>
        <v/>
      </c>
      <c r="C144" s="48"/>
      <c r="D144" s="124"/>
      <c r="E144" s="129">
        <f>IF(LEN(E32)&gt;0,MAX($E$63:E143)+1,"")</f>
        <v>20</v>
      </c>
      <c r="F144" s="125" t="str">
        <f>IF(LEN(E32)&gt;0,E32,"")</f>
        <v>현수막제작비</v>
      </c>
      <c r="G144" s="48"/>
      <c r="H144" s="124"/>
      <c r="I144" s="119"/>
      <c r="M144" s="121"/>
      <c r="N144" s="121"/>
      <c r="O144" s="121"/>
      <c r="P144" s="121"/>
    </row>
    <row r="145" spans="1:16" ht="20.149999999999999" hidden="1" customHeight="1">
      <c r="A145" s="129" t="str">
        <f>IF(LEN(E8)&gt;0,MAX(A$63:$A144)+1,"")</f>
        <v/>
      </c>
      <c r="B145" s="125" t="str">
        <f t="shared" si="10"/>
        <v/>
      </c>
      <c r="C145" s="48"/>
      <c r="D145" s="124"/>
      <c r="E145" s="129" t="str">
        <f>IF(LEN(E33)&gt;0,MAX($E$63:E144)+1,"")</f>
        <v/>
      </c>
      <c r="F145" s="125" t="str">
        <f t="shared" ref="F145:F162" si="11">IF(LEN(E33)&gt;0,E33,"")</f>
        <v/>
      </c>
      <c r="G145" s="48"/>
      <c r="H145" s="124"/>
      <c r="I145" s="119"/>
      <c r="M145" s="121"/>
      <c r="N145" s="121"/>
      <c r="O145" s="121"/>
      <c r="P145" s="121"/>
    </row>
    <row r="146" spans="1:16" ht="20.149999999999999" hidden="1" customHeight="1">
      <c r="A146" s="129" t="str">
        <f>IF(LEN(E9)&gt;0,MAX(A$63:$A145)+1,"")</f>
        <v/>
      </c>
      <c r="B146" s="125" t="str">
        <f t="shared" si="10"/>
        <v/>
      </c>
      <c r="C146" s="48"/>
      <c r="D146" s="124"/>
      <c r="E146" s="129" t="str">
        <f>IF(LEN(E34)&gt;0,MAX($E$63:E145)+1,"")</f>
        <v/>
      </c>
      <c r="F146" s="125" t="str">
        <f t="shared" si="11"/>
        <v/>
      </c>
      <c r="G146" s="48"/>
      <c r="H146" s="124"/>
      <c r="I146" s="119"/>
      <c r="M146" s="121"/>
      <c r="N146" s="121"/>
      <c r="O146" s="121"/>
      <c r="P146" s="121"/>
    </row>
    <row r="147" spans="1:16" ht="20.149999999999999" hidden="1" customHeight="1">
      <c r="A147" s="129" t="str">
        <f>IF(LEN(E10)&gt;0,MAX(A$63:$A146)+1,"")</f>
        <v/>
      </c>
      <c r="B147" s="125" t="str">
        <f t="shared" si="10"/>
        <v/>
      </c>
      <c r="C147" s="48"/>
      <c r="D147" s="124"/>
      <c r="E147" s="129" t="str">
        <f>IF(LEN(E35)&gt;0,MAX($E$63:E146)+1,"")</f>
        <v/>
      </c>
      <c r="F147" s="125" t="str">
        <f t="shared" si="11"/>
        <v/>
      </c>
      <c r="G147" s="48"/>
      <c r="H147" s="124"/>
      <c r="I147" s="119"/>
      <c r="M147" s="121"/>
      <c r="N147" s="121"/>
      <c r="O147" s="121"/>
      <c r="P147" s="121"/>
    </row>
    <row r="148" spans="1:16" ht="20.149999999999999" hidden="1" customHeight="1">
      <c r="A148" s="129" t="str">
        <f>IF(LEN(E11)&gt;0,MAX(A$63:$A147)+1,"")</f>
        <v/>
      </c>
      <c r="B148" s="125" t="str">
        <f t="shared" si="10"/>
        <v/>
      </c>
      <c r="C148" s="48"/>
      <c r="D148" s="124"/>
      <c r="E148" s="129" t="str">
        <f>IF(LEN(E36)&gt;0,MAX($E$63:E147)+1,"")</f>
        <v/>
      </c>
      <c r="F148" s="125" t="str">
        <f t="shared" si="11"/>
        <v/>
      </c>
      <c r="G148" s="48"/>
      <c r="H148" s="124"/>
      <c r="I148" s="119"/>
      <c r="M148" s="121"/>
      <c r="N148" s="121"/>
      <c r="O148" s="121"/>
      <c r="P148" s="121"/>
    </row>
    <row r="149" spans="1:16" ht="20.149999999999999" hidden="1" customHeight="1">
      <c r="A149" s="129" t="str">
        <f>IF(LEN(E12)&gt;0,MAX(A$63:$A148)+1,"")</f>
        <v/>
      </c>
      <c r="B149" s="125" t="str">
        <f t="shared" si="10"/>
        <v/>
      </c>
      <c r="C149" s="48"/>
      <c r="D149" s="124"/>
      <c r="E149" s="129" t="str">
        <f>IF(LEN(E37)&gt;0,MAX($E$63:E148)+1,"")</f>
        <v/>
      </c>
      <c r="F149" s="125" t="str">
        <f t="shared" si="11"/>
        <v/>
      </c>
      <c r="G149" s="48"/>
      <c r="H149" s="124"/>
      <c r="I149" s="119"/>
      <c r="M149" s="121"/>
      <c r="N149" s="121"/>
      <c r="O149" s="121"/>
      <c r="P149" s="121"/>
    </row>
    <row r="150" spans="1:16" ht="20.149999999999999" hidden="1" customHeight="1">
      <c r="A150" s="129" t="str">
        <f>IF(LEN(E13)&gt;0,MAX(A$63:$A149)+1,"")</f>
        <v/>
      </c>
      <c r="B150" s="125" t="str">
        <f t="shared" si="10"/>
        <v/>
      </c>
      <c r="C150" s="48"/>
      <c r="D150" s="124"/>
      <c r="E150" s="129" t="str">
        <f>IF(LEN(E38)&gt;0,MAX($E$63:E149)+1,"")</f>
        <v/>
      </c>
      <c r="F150" s="125" t="str">
        <f t="shared" si="11"/>
        <v/>
      </c>
      <c r="G150" s="48"/>
      <c r="H150" s="124"/>
      <c r="I150" s="119"/>
      <c r="M150" s="121"/>
      <c r="N150" s="121"/>
      <c r="O150" s="121"/>
      <c r="P150" s="121"/>
    </row>
    <row r="151" spans="1:16" ht="20.149999999999999" hidden="1" customHeight="1">
      <c r="A151" s="129" t="str">
        <f>IF(LEN(E14)&gt;0,MAX(A$63:$A150)+1,"")</f>
        <v/>
      </c>
      <c r="B151" s="125" t="str">
        <f t="shared" si="10"/>
        <v/>
      </c>
      <c r="C151" s="48"/>
      <c r="D151" s="124"/>
      <c r="E151" s="129" t="str">
        <f>IF(LEN(E39)&gt;0,MAX($E$63:E150)+1,"")</f>
        <v/>
      </c>
      <c r="F151" s="125" t="str">
        <f t="shared" si="11"/>
        <v/>
      </c>
      <c r="G151" s="48"/>
      <c r="H151" s="124"/>
      <c r="I151" s="119"/>
      <c r="M151" s="121"/>
      <c r="N151" s="121"/>
      <c r="O151" s="121"/>
      <c r="P151" s="121"/>
    </row>
    <row r="152" spans="1:16" ht="20.149999999999999" hidden="1" customHeight="1">
      <c r="A152" s="129" t="str">
        <f>IF(LEN(E15)&gt;0,MAX(A$63:$A151)+1,"")</f>
        <v/>
      </c>
      <c r="B152" s="125" t="str">
        <f t="shared" si="10"/>
        <v/>
      </c>
      <c r="C152" s="48"/>
      <c r="D152" s="124"/>
      <c r="E152" s="129" t="str">
        <f>IF(LEN(E40)&gt;0,MAX($E$63:E151)+1,"")</f>
        <v/>
      </c>
      <c r="F152" s="125" t="str">
        <f t="shared" si="11"/>
        <v/>
      </c>
      <c r="G152" s="48"/>
      <c r="H152" s="124"/>
      <c r="I152" s="119"/>
      <c r="M152" s="121"/>
      <c r="N152" s="121"/>
      <c r="O152" s="121"/>
      <c r="P152" s="121"/>
    </row>
    <row r="153" spans="1:16" ht="20.149999999999999" hidden="1" customHeight="1">
      <c r="A153" s="129" t="str">
        <f>IF(LEN(E16)&gt;0,MAX(A$63:$A152)+1,"")</f>
        <v/>
      </c>
      <c r="B153" s="125" t="str">
        <f t="shared" si="10"/>
        <v/>
      </c>
      <c r="C153" s="48"/>
      <c r="D153" s="124"/>
      <c r="E153" s="129" t="str">
        <f>IF(LEN(E41)&gt;0,MAX($E$63:E152)+1,"")</f>
        <v/>
      </c>
      <c r="F153" s="125" t="str">
        <f t="shared" si="11"/>
        <v/>
      </c>
      <c r="G153" s="48"/>
      <c r="H153" s="124"/>
      <c r="I153" s="119"/>
      <c r="M153" s="121"/>
      <c r="N153" s="121"/>
      <c r="O153" s="121"/>
      <c r="P153" s="121"/>
    </row>
    <row r="154" spans="1:16" ht="20.149999999999999" hidden="1" customHeight="1">
      <c r="A154" s="129" t="str">
        <f>IF(LEN(E17)&gt;0,MAX(A$63:$A153)+1,"")</f>
        <v/>
      </c>
      <c r="B154" s="125" t="str">
        <f t="shared" si="10"/>
        <v/>
      </c>
      <c r="C154" s="48"/>
      <c r="D154" s="124"/>
      <c r="E154" s="129" t="str">
        <f>IF(LEN(E42)&gt;0,MAX($E$63:E153)+1,"")</f>
        <v/>
      </c>
      <c r="F154" s="125" t="str">
        <f t="shared" si="11"/>
        <v/>
      </c>
      <c r="G154" s="48"/>
      <c r="H154" s="124"/>
      <c r="I154" s="119"/>
      <c r="M154" s="121"/>
      <c r="N154" s="121"/>
      <c r="O154" s="121"/>
      <c r="P154" s="121"/>
    </row>
    <row r="155" spans="1:16" ht="20.149999999999999" hidden="1" customHeight="1">
      <c r="A155" s="129" t="str">
        <f>IF(LEN(E18)&gt;0,MAX(A$63:$A154)+1,"")</f>
        <v/>
      </c>
      <c r="B155" s="125" t="str">
        <f t="shared" si="10"/>
        <v/>
      </c>
      <c r="C155" s="48"/>
      <c r="D155" s="124"/>
      <c r="E155" s="129" t="str">
        <f>IF(LEN(E43)&gt;0,MAX($E$63:E154)+1,"")</f>
        <v/>
      </c>
      <c r="F155" s="125" t="str">
        <f t="shared" si="11"/>
        <v/>
      </c>
      <c r="G155" s="48"/>
      <c r="H155" s="124"/>
      <c r="I155" s="119"/>
      <c r="M155" s="121"/>
      <c r="N155" s="121"/>
      <c r="O155" s="121"/>
      <c r="P155" s="121"/>
    </row>
    <row r="156" spans="1:16" ht="20.149999999999999" hidden="1" customHeight="1">
      <c r="A156" s="129" t="str">
        <f>IF(LEN(E19)&gt;0,MAX(A$63:$A155)+1,"")</f>
        <v/>
      </c>
      <c r="B156" s="125" t="str">
        <f t="shared" si="10"/>
        <v/>
      </c>
      <c r="C156" s="48"/>
      <c r="D156" s="124"/>
      <c r="E156" s="129" t="str">
        <f>IF(LEN(E44)&gt;0,MAX($E$63:E155)+1,"")</f>
        <v/>
      </c>
      <c r="F156" s="125" t="str">
        <f t="shared" si="11"/>
        <v/>
      </c>
      <c r="G156" s="48"/>
      <c r="H156" s="124"/>
      <c r="I156" s="119"/>
      <c r="M156" s="121"/>
      <c r="N156" s="121"/>
      <c r="O156" s="121"/>
      <c r="P156" s="121"/>
    </row>
    <row r="157" spans="1:16" ht="20.149999999999999" hidden="1" customHeight="1">
      <c r="A157" s="129" t="str">
        <f>IF(LEN(E20)&gt;0,MAX(A$63:$A156)+1,"")</f>
        <v/>
      </c>
      <c r="B157" s="125" t="str">
        <f t="shared" si="10"/>
        <v/>
      </c>
      <c r="C157" s="48"/>
      <c r="D157" s="124"/>
      <c r="E157" s="129" t="str">
        <f>IF(LEN(E45)&gt;0,MAX($E$63:E156)+1,"")</f>
        <v/>
      </c>
      <c r="F157" s="125" t="str">
        <f t="shared" si="11"/>
        <v/>
      </c>
      <c r="G157" s="48"/>
      <c r="H157" s="124"/>
      <c r="I157" s="119"/>
      <c r="M157" s="121"/>
      <c r="N157" s="121"/>
      <c r="O157" s="121"/>
      <c r="P157" s="121"/>
    </row>
    <row r="158" spans="1:16" ht="20.149999999999999" hidden="1" customHeight="1">
      <c r="A158" s="129" t="str">
        <f>IF(LEN(E21)&gt;0,MAX(A$63:$A157)+1,"")</f>
        <v/>
      </c>
      <c r="B158" s="125" t="str">
        <f t="shared" si="10"/>
        <v/>
      </c>
      <c r="C158" s="48"/>
      <c r="D158" s="124"/>
      <c r="E158" s="129" t="str">
        <f>IF(LEN(E46)&gt;0,MAX($E$63:E157)+1,"")</f>
        <v/>
      </c>
      <c r="F158" s="125" t="str">
        <f t="shared" si="11"/>
        <v/>
      </c>
      <c r="G158" s="48"/>
      <c r="H158" s="124"/>
      <c r="I158" s="119"/>
      <c r="M158" s="121"/>
      <c r="N158" s="121"/>
      <c r="O158" s="121"/>
      <c r="P158" s="121"/>
    </row>
    <row r="159" spans="1:16" s="120" customFormat="1" ht="20.149999999999999" hidden="1" customHeight="1">
      <c r="A159" s="129" t="str">
        <f>IF(LEN(E22)&gt;0,MAX(A$63:$A158)+1,"")</f>
        <v/>
      </c>
      <c r="B159" s="125" t="str">
        <f t="shared" si="10"/>
        <v/>
      </c>
      <c r="C159" s="48"/>
      <c r="D159" s="124"/>
      <c r="E159" s="129" t="str">
        <f>IF(LEN(E47)&gt;0,MAX($E$63:E158)+1,"")</f>
        <v/>
      </c>
      <c r="F159" s="125" t="str">
        <f t="shared" si="11"/>
        <v/>
      </c>
      <c r="G159" s="48"/>
      <c r="H159" s="124"/>
      <c r="I159" s="121"/>
      <c r="J159" s="130"/>
      <c r="K159" s="130"/>
      <c r="L159" s="130"/>
      <c r="M159" s="130"/>
      <c r="N159" s="130"/>
      <c r="O159" s="130"/>
      <c r="P159" s="130"/>
    </row>
    <row r="160" spans="1:16" s="120" customFormat="1" ht="20.149999999999999" hidden="1" customHeight="1">
      <c r="A160" s="129" t="str">
        <f>IF(LEN(E23)&gt;0,MAX(A$63:$A159)+1,"")</f>
        <v/>
      </c>
      <c r="B160" s="125" t="str">
        <f t="shared" si="10"/>
        <v/>
      </c>
      <c r="C160" s="48"/>
      <c r="D160" s="124"/>
      <c r="E160" s="129" t="str">
        <f>IF(LEN(E48)&gt;0,MAX($E$63:E159)+1,"")</f>
        <v/>
      </c>
      <c r="F160" s="125" t="str">
        <f t="shared" si="11"/>
        <v/>
      </c>
      <c r="G160" s="48"/>
      <c r="H160" s="124"/>
      <c r="I160" s="121"/>
      <c r="J160" s="130"/>
      <c r="K160" s="130"/>
      <c r="L160" s="130"/>
      <c r="M160" s="130"/>
      <c r="N160" s="130"/>
      <c r="O160" s="130"/>
      <c r="P160" s="130"/>
    </row>
    <row r="161" spans="1:16" ht="20.149999999999999" hidden="1" customHeight="1">
      <c r="A161" s="129" t="str">
        <f>IF(LEN(E24)&gt;0,MAX(A$63:$A160)+1,"")</f>
        <v/>
      </c>
      <c r="B161" s="125" t="str">
        <f t="shared" si="10"/>
        <v/>
      </c>
      <c r="C161" s="48"/>
      <c r="D161" s="124"/>
      <c r="E161" s="129" t="str">
        <f>IF(LEN(E49)&gt;0,MAX($E$63:E160)+1,"")</f>
        <v/>
      </c>
      <c r="F161" s="125" t="str">
        <f t="shared" si="11"/>
        <v/>
      </c>
      <c r="G161" s="48"/>
      <c r="H161" s="124"/>
      <c r="M161" s="121"/>
      <c r="N161" s="121"/>
      <c r="O161" s="121"/>
      <c r="P161" s="121"/>
    </row>
    <row r="162" spans="1:16" ht="20.149999999999999" hidden="1" customHeight="1">
      <c r="A162" s="129" t="str">
        <f>IF(LEN(E25)&gt;0,MAX(A$63:$A161)+1,"")</f>
        <v/>
      </c>
      <c r="B162" s="125" t="str">
        <f t="shared" si="10"/>
        <v/>
      </c>
      <c r="C162" s="48"/>
      <c r="D162" s="124"/>
      <c r="E162" s="129" t="str">
        <f>IF(LEN(E50)&gt;0,MAX($E$63:E161)+1,"")</f>
        <v/>
      </c>
      <c r="F162" s="125" t="str">
        <f t="shared" si="11"/>
        <v/>
      </c>
      <c r="G162" s="48"/>
      <c r="H162" s="124"/>
      <c r="M162" s="121"/>
      <c r="N162" s="121"/>
      <c r="O162" s="121"/>
      <c r="P162" s="121"/>
    </row>
    <row r="163" spans="1:16" s="120" customFormat="1" ht="20.149999999999999" hidden="1" customHeight="1">
      <c r="A163" s="129" t="str">
        <f>IF(LEN(F6)&gt;0,MAX(A$63:$A162)+1,"")</f>
        <v/>
      </c>
      <c r="B163" s="125" t="str">
        <f t="shared" ref="B163:B182" si="12">IF(LEN(F6)&gt;0,F6,"")</f>
        <v/>
      </c>
      <c r="C163" s="48" t="b">
        <f>IF(SUM(A163:A182)&gt;0,MIN(A163:A182))</f>
        <v>0</v>
      </c>
      <c r="D163" s="127" t="b">
        <f>IF(SUM(A163:A182)&gt;0,F5)</f>
        <v>0</v>
      </c>
      <c r="E163" s="129">
        <f>IF(LEN(F31)&gt;0,MAX($E$63:E162)+1,"")</f>
        <v>21</v>
      </c>
      <c r="F163" s="125" t="str">
        <f>IF(LEN(F31)&gt;0,F31,"")</f>
        <v>여름수련회</v>
      </c>
      <c r="G163" s="48">
        <f>IF(SUM(E163:E182)&gt;0,MIN(E163:E182))</f>
        <v>21</v>
      </c>
      <c r="H163" s="127" t="str">
        <f>IF(SUM(E163:E182)&gt;0,F30)</f>
        <v>수련회</v>
      </c>
      <c r="I163" s="121"/>
      <c r="J163" s="130"/>
      <c r="K163" s="130"/>
      <c r="L163" s="130"/>
      <c r="M163" s="130"/>
      <c r="N163" s="130"/>
      <c r="O163" s="130"/>
      <c r="P163" s="130"/>
    </row>
    <row r="164" spans="1:16" s="120" customFormat="1" ht="20.149999999999999" hidden="1" customHeight="1">
      <c r="A164" s="129" t="str">
        <f>IF(LEN(F7)&gt;0,MAX(A$63:$A163)+1,"")</f>
        <v/>
      </c>
      <c r="B164" s="125" t="str">
        <f t="shared" si="12"/>
        <v/>
      </c>
      <c r="C164" s="48"/>
      <c r="D164" s="127"/>
      <c r="E164" s="129">
        <f>IF(LEN(F32)&gt;0,MAX($E$63:E163)+1,"")</f>
        <v>22</v>
      </c>
      <c r="F164" s="125" t="str">
        <f t="shared" ref="F164:F178" si="13">IF(LEN(F32)&gt;0,F32,"")</f>
        <v>겨울수련회</v>
      </c>
      <c r="G164" s="48"/>
      <c r="H164" s="127"/>
      <c r="I164" s="121"/>
      <c r="J164" s="130"/>
      <c r="K164" s="130"/>
      <c r="L164" s="130"/>
      <c r="M164" s="130"/>
      <c r="N164" s="130"/>
      <c r="O164" s="130"/>
      <c r="P164" s="130"/>
    </row>
    <row r="165" spans="1:16" s="120" customFormat="1" ht="20.149999999999999" hidden="1" customHeight="1">
      <c r="A165" s="129" t="str">
        <f>IF(LEN(F8)&gt;0,MAX(A$63:$A164)+1,"")</f>
        <v/>
      </c>
      <c r="B165" s="125" t="str">
        <f t="shared" si="12"/>
        <v/>
      </c>
      <c r="C165" s="48"/>
      <c r="D165" s="127"/>
      <c r="E165" s="129" t="str">
        <f>IF(LEN(F33)&gt;0,MAX($E$63:E164)+1,"")</f>
        <v/>
      </c>
      <c r="F165" s="125" t="str">
        <f t="shared" si="13"/>
        <v/>
      </c>
      <c r="G165" s="48"/>
      <c r="H165" s="127"/>
      <c r="I165" s="121"/>
      <c r="J165" s="130"/>
      <c r="K165" s="130"/>
      <c r="L165" s="130"/>
      <c r="M165" s="130"/>
      <c r="N165" s="130"/>
      <c r="O165" s="130"/>
      <c r="P165" s="130"/>
    </row>
    <row r="166" spans="1:16" s="120" customFormat="1" ht="20.149999999999999" hidden="1" customHeight="1">
      <c r="A166" s="129" t="str">
        <f>IF(LEN(F9)&gt;0,MAX(A$63:$A165)+1,"")</f>
        <v/>
      </c>
      <c r="B166" s="125" t="str">
        <f t="shared" si="12"/>
        <v/>
      </c>
      <c r="C166" s="48"/>
      <c r="D166" s="127"/>
      <c r="E166" s="129" t="str">
        <f>IF(LEN(F34)&gt;0,MAX($E$63:E165)+1,"")</f>
        <v/>
      </c>
      <c r="F166" s="125" t="str">
        <f t="shared" si="13"/>
        <v/>
      </c>
      <c r="G166" s="48"/>
      <c r="H166" s="127"/>
      <c r="I166" s="121"/>
      <c r="J166" s="130"/>
      <c r="K166" s="130"/>
      <c r="L166" s="130"/>
      <c r="M166" s="130"/>
      <c r="N166" s="130"/>
      <c r="O166" s="130"/>
      <c r="P166" s="130"/>
    </row>
    <row r="167" spans="1:16" s="120" customFormat="1" ht="20.149999999999999" hidden="1" customHeight="1">
      <c r="A167" s="129" t="str">
        <f>IF(LEN(F10)&gt;0,MAX(A$63:$A166)+1,"")</f>
        <v/>
      </c>
      <c r="B167" s="125" t="str">
        <f t="shared" si="12"/>
        <v/>
      </c>
      <c r="C167" s="48"/>
      <c r="D167" s="127"/>
      <c r="E167" s="129" t="str">
        <f>IF(LEN(F35)&gt;0,MAX($E$63:E166)+1,"")</f>
        <v/>
      </c>
      <c r="F167" s="125" t="str">
        <f t="shared" si="13"/>
        <v/>
      </c>
      <c r="G167" s="48"/>
      <c r="H167" s="127"/>
      <c r="I167" s="121"/>
      <c r="J167" s="130"/>
      <c r="K167" s="130"/>
      <c r="L167" s="130"/>
      <c r="M167" s="130"/>
      <c r="N167" s="130"/>
      <c r="O167" s="130"/>
      <c r="P167" s="130"/>
    </row>
    <row r="168" spans="1:16" s="120" customFormat="1" ht="20.149999999999999" hidden="1" customHeight="1">
      <c r="A168" s="129" t="str">
        <f>IF(LEN(F11)&gt;0,MAX(A$63:$A167)+1,"")</f>
        <v/>
      </c>
      <c r="B168" s="125" t="str">
        <f t="shared" si="12"/>
        <v/>
      </c>
      <c r="C168" s="48"/>
      <c r="D168" s="127"/>
      <c r="E168" s="129" t="str">
        <f>IF(LEN(F36)&gt;0,MAX($E$63:E167)+1,"")</f>
        <v/>
      </c>
      <c r="F168" s="125" t="str">
        <f t="shared" si="13"/>
        <v/>
      </c>
      <c r="G168" s="48"/>
      <c r="H168" s="127"/>
      <c r="I168" s="121"/>
      <c r="J168" s="130"/>
      <c r="K168" s="130"/>
      <c r="L168" s="130"/>
      <c r="M168" s="130"/>
      <c r="N168" s="130"/>
      <c r="O168" s="130"/>
      <c r="P168" s="130"/>
    </row>
    <row r="169" spans="1:16" s="120" customFormat="1" ht="20.149999999999999" hidden="1" customHeight="1">
      <c r="A169" s="129" t="str">
        <f>IF(LEN(F12)&gt;0,MAX(A$63:$A168)+1,"")</f>
        <v/>
      </c>
      <c r="B169" s="125" t="str">
        <f t="shared" si="12"/>
        <v/>
      </c>
      <c r="C169" s="48"/>
      <c r="D169" s="127"/>
      <c r="E169" s="129" t="str">
        <f>IF(LEN(F37)&gt;0,MAX($E$63:E168)+1,"")</f>
        <v/>
      </c>
      <c r="F169" s="125" t="str">
        <f t="shared" si="13"/>
        <v/>
      </c>
      <c r="G169" s="48"/>
      <c r="H169" s="127"/>
      <c r="I169" s="121"/>
      <c r="J169" s="130"/>
      <c r="K169" s="130"/>
      <c r="L169" s="130"/>
      <c r="M169" s="130"/>
      <c r="N169" s="130"/>
      <c r="O169" s="130"/>
      <c r="P169" s="130"/>
    </row>
    <row r="170" spans="1:16" s="120" customFormat="1" ht="20.149999999999999" hidden="1" customHeight="1">
      <c r="A170" s="129" t="str">
        <f>IF(LEN(F13)&gt;0,MAX(A$63:$A169)+1,"")</f>
        <v/>
      </c>
      <c r="B170" s="125" t="str">
        <f t="shared" si="12"/>
        <v/>
      </c>
      <c r="C170" s="48"/>
      <c r="D170" s="127"/>
      <c r="E170" s="129" t="str">
        <f>IF(LEN(F38)&gt;0,MAX($E$63:E169)+1,"")</f>
        <v/>
      </c>
      <c r="F170" s="125" t="str">
        <f t="shared" si="13"/>
        <v/>
      </c>
      <c r="G170" s="48"/>
      <c r="H170" s="127"/>
      <c r="I170" s="121"/>
      <c r="J170" s="130"/>
      <c r="K170" s="130"/>
      <c r="L170" s="130"/>
      <c r="M170" s="130"/>
      <c r="N170" s="130"/>
      <c r="O170" s="130"/>
      <c r="P170" s="130"/>
    </row>
    <row r="171" spans="1:16" s="120" customFormat="1" ht="20.149999999999999" hidden="1" customHeight="1">
      <c r="A171" s="129" t="str">
        <f>IF(LEN(F14)&gt;0,MAX(A$63:$A170)+1,"")</f>
        <v/>
      </c>
      <c r="B171" s="125" t="str">
        <f t="shared" si="12"/>
        <v/>
      </c>
      <c r="C171" s="48"/>
      <c r="D171" s="127"/>
      <c r="E171" s="129" t="str">
        <f>IF(LEN(F39)&gt;0,MAX($E$63:E170)+1,"")</f>
        <v/>
      </c>
      <c r="F171" s="125" t="str">
        <f t="shared" si="13"/>
        <v/>
      </c>
      <c r="G171" s="48"/>
      <c r="H171" s="127"/>
      <c r="I171" s="121"/>
      <c r="J171" s="130"/>
      <c r="K171" s="130"/>
      <c r="L171" s="130"/>
      <c r="M171" s="130"/>
      <c r="N171" s="130"/>
      <c r="O171" s="130"/>
      <c r="P171" s="130"/>
    </row>
    <row r="172" spans="1:16" s="120" customFormat="1" ht="20.149999999999999" hidden="1" customHeight="1">
      <c r="A172" s="129" t="str">
        <f>IF(LEN(F15)&gt;0,MAX(A$63:$A171)+1,"")</f>
        <v/>
      </c>
      <c r="B172" s="125" t="str">
        <f t="shared" si="12"/>
        <v/>
      </c>
      <c r="C172" s="48"/>
      <c r="D172" s="127"/>
      <c r="E172" s="129" t="str">
        <f>IF(LEN(F40)&gt;0,MAX($E$63:E171)+1,"")</f>
        <v/>
      </c>
      <c r="F172" s="125" t="str">
        <f t="shared" si="13"/>
        <v/>
      </c>
      <c r="G172" s="48"/>
      <c r="H172" s="127"/>
      <c r="I172" s="121"/>
      <c r="J172" s="130"/>
      <c r="K172" s="130"/>
      <c r="L172" s="130"/>
      <c r="M172" s="130"/>
      <c r="N172" s="130"/>
      <c r="O172" s="130"/>
      <c r="P172" s="130"/>
    </row>
    <row r="173" spans="1:16" s="120" customFormat="1" ht="20.149999999999999" hidden="1" customHeight="1">
      <c r="A173" s="129" t="str">
        <f>IF(LEN(F16)&gt;0,MAX(A$63:$A172)+1,"")</f>
        <v/>
      </c>
      <c r="B173" s="125" t="str">
        <f t="shared" si="12"/>
        <v/>
      </c>
      <c r="C173" s="48"/>
      <c r="D173" s="127"/>
      <c r="E173" s="129" t="str">
        <f>IF(LEN(F41)&gt;0,MAX($E$63:E172)+1,"")</f>
        <v/>
      </c>
      <c r="F173" s="125" t="str">
        <f t="shared" si="13"/>
        <v/>
      </c>
      <c r="G173" s="48"/>
      <c r="H173" s="127"/>
      <c r="I173" s="121"/>
      <c r="J173" s="130"/>
      <c r="K173" s="130"/>
      <c r="L173" s="130"/>
      <c r="M173" s="130"/>
      <c r="N173" s="130"/>
      <c r="O173" s="130"/>
      <c r="P173" s="130"/>
    </row>
    <row r="174" spans="1:16" s="120" customFormat="1" ht="20.149999999999999" hidden="1" customHeight="1">
      <c r="A174" s="129" t="str">
        <f>IF(LEN(F17)&gt;0,MAX(A$63:$A173)+1,"")</f>
        <v/>
      </c>
      <c r="B174" s="125" t="str">
        <f t="shared" si="12"/>
        <v/>
      </c>
      <c r="C174" s="48"/>
      <c r="D174" s="127"/>
      <c r="E174" s="129" t="str">
        <f>IF(LEN(F42)&gt;0,MAX($E$63:E173)+1,"")</f>
        <v/>
      </c>
      <c r="F174" s="125" t="str">
        <f t="shared" si="13"/>
        <v/>
      </c>
      <c r="G174" s="48"/>
      <c r="H174" s="127"/>
      <c r="I174" s="121"/>
      <c r="J174" s="130"/>
      <c r="K174" s="130"/>
      <c r="L174" s="130"/>
      <c r="M174" s="130"/>
      <c r="N174" s="130"/>
      <c r="O174" s="130"/>
      <c r="P174" s="130"/>
    </row>
    <row r="175" spans="1:16" s="120" customFormat="1" ht="20.149999999999999" hidden="1" customHeight="1">
      <c r="A175" s="129" t="str">
        <f>IF(LEN(F18)&gt;0,MAX(A$63:$A174)+1,"")</f>
        <v/>
      </c>
      <c r="B175" s="125" t="str">
        <f t="shared" si="12"/>
        <v/>
      </c>
      <c r="C175" s="48"/>
      <c r="D175" s="127"/>
      <c r="E175" s="129" t="str">
        <f>IF(LEN(F43)&gt;0,MAX($E$63:E174)+1,"")</f>
        <v/>
      </c>
      <c r="F175" s="125" t="str">
        <f t="shared" si="13"/>
        <v/>
      </c>
      <c r="G175" s="48"/>
      <c r="H175" s="127"/>
      <c r="I175" s="121"/>
      <c r="J175" s="130"/>
      <c r="K175" s="130"/>
      <c r="L175" s="130"/>
      <c r="M175" s="130"/>
      <c r="N175" s="130"/>
      <c r="O175" s="130"/>
      <c r="P175" s="130"/>
    </row>
    <row r="176" spans="1:16" s="120" customFormat="1" ht="20.149999999999999" hidden="1" customHeight="1">
      <c r="A176" s="129" t="str">
        <f>IF(LEN(F19)&gt;0,MAX(A$63:$A175)+1,"")</f>
        <v/>
      </c>
      <c r="B176" s="125" t="str">
        <f t="shared" si="12"/>
        <v/>
      </c>
      <c r="C176" s="48"/>
      <c r="D176" s="127"/>
      <c r="E176" s="129" t="str">
        <f>IF(LEN(F44)&gt;0,MAX($E$63:E175)+1,"")</f>
        <v/>
      </c>
      <c r="F176" s="125" t="str">
        <f t="shared" si="13"/>
        <v/>
      </c>
      <c r="G176" s="48"/>
      <c r="H176" s="127"/>
      <c r="I176" s="121"/>
      <c r="J176" s="130"/>
      <c r="K176" s="130"/>
      <c r="L176" s="130"/>
      <c r="M176" s="130"/>
      <c r="N176" s="130"/>
      <c r="O176" s="130"/>
      <c r="P176" s="130"/>
    </row>
    <row r="177" spans="1:16" s="120" customFormat="1" ht="20.149999999999999" hidden="1" customHeight="1">
      <c r="A177" s="129" t="str">
        <f>IF(LEN(F20)&gt;0,MAX(A$63:$A176)+1,"")</f>
        <v/>
      </c>
      <c r="B177" s="125" t="str">
        <f t="shared" si="12"/>
        <v/>
      </c>
      <c r="C177" s="48"/>
      <c r="D177" s="127"/>
      <c r="E177" s="129" t="str">
        <f>IF(LEN(F45)&gt;0,MAX($E$63:E176)+1,"")</f>
        <v/>
      </c>
      <c r="F177" s="125" t="str">
        <f t="shared" si="13"/>
        <v/>
      </c>
      <c r="G177" s="48"/>
      <c r="H177" s="127"/>
      <c r="I177" s="121"/>
      <c r="J177" s="130"/>
      <c r="K177" s="130"/>
      <c r="L177" s="130"/>
      <c r="M177" s="130"/>
      <c r="N177" s="130"/>
      <c r="O177" s="130"/>
      <c r="P177" s="130"/>
    </row>
    <row r="178" spans="1:16" s="120" customFormat="1" ht="20.149999999999999" hidden="1" customHeight="1">
      <c r="A178" s="129" t="str">
        <f>IF(LEN(F21)&gt;0,MAX(A$63:$A177)+1,"")</f>
        <v/>
      </c>
      <c r="B178" s="125" t="str">
        <f t="shared" si="12"/>
        <v/>
      </c>
      <c r="C178" s="48"/>
      <c r="D178" s="124"/>
      <c r="E178" s="129" t="str">
        <f>IF(LEN(F46)&gt;0,MAX($E$63:E177)+1,"")</f>
        <v/>
      </c>
      <c r="F178" s="125" t="str">
        <f t="shared" si="13"/>
        <v/>
      </c>
      <c r="G178" s="48"/>
      <c r="H178" s="124"/>
      <c r="I178" s="121"/>
      <c r="J178" s="130"/>
      <c r="K178" s="130"/>
      <c r="L178" s="130"/>
      <c r="M178" s="130"/>
      <c r="N178" s="130"/>
      <c r="O178" s="130"/>
      <c r="P178" s="130"/>
    </row>
    <row r="179" spans="1:16" ht="20.149999999999999" hidden="1" customHeight="1">
      <c r="A179" s="129" t="str">
        <f>IF(LEN(F22)&gt;0,MAX(A$63:$A178)+1,"")</f>
        <v/>
      </c>
      <c r="B179" s="125" t="str">
        <f t="shared" si="12"/>
        <v/>
      </c>
      <c r="C179" s="48"/>
      <c r="D179" s="124"/>
      <c r="E179" s="129" t="str">
        <f>IF(LEN(F47)&gt;0,MAX($E$63:E178)+1,"")</f>
        <v/>
      </c>
      <c r="F179" s="125" t="str">
        <f t="shared" ref="F179:F182" si="14">IF(LEN(F47)&gt;0,F47,"")</f>
        <v/>
      </c>
      <c r="G179" s="48"/>
      <c r="H179" s="124"/>
      <c r="M179" s="121"/>
      <c r="N179" s="121"/>
      <c r="O179" s="121"/>
      <c r="P179" s="121"/>
    </row>
    <row r="180" spans="1:16" ht="20.149999999999999" hidden="1" customHeight="1">
      <c r="A180" s="129" t="str">
        <f>IF(LEN(F23)&gt;0,MAX(A$63:$A179)+1,"")</f>
        <v/>
      </c>
      <c r="B180" s="125" t="str">
        <f t="shared" si="12"/>
        <v/>
      </c>
      <c r="C180" s="48"/>
      <c r="D180" s="124"/>
      <c r="E180" s="129" t="str">
        <f>IF(LEN(F48)&gt;0,MAX($E$63:E179)+1,"")</f>
        <v/>
      </c>
      <c r="F180" s="125" t="str">
        <f t="shared" si="14"/>
        <v/>
      </c>
      <c r="G180" s="48"/>
      <c r="H180" s="124"/>
      <c r="M180" s="121"/>
      <c r="N180" s="121"/>
      <c r="O180" s="121"/>
      <c r="P180" s="121"/>
    </row>
    <row r="181" spans="1:16" s="120" customFormat="1" ht="20.149999999999999" hidden="1" customHeight="1">
      <c r="A181" s="129" t="str">
        <f>IF(LEN(F24)&gt;0,MAX(A$63:$A180)+1,"")</f>
        <v/>
      </c>
      <c r="B181" s="125" t="str">
        <f t="shared" si="12"/>
        <v/>
      </c>
      <c r="C181" s="48"/>
      <c r="D181" s="124"/>
      <c r="E181" s="129" t="str">
        <f>IF(LEN(F49)&gt;0,MAX($E$63:E180)+1,"")</f>
        <v/>
      </c>
      <c r="F181" s="125" t="str">
        <f t="shared" si="14"/>
        <v/>
      </c>
      <c r="G181" s="48"/>
      <c r="H181" s="124"/>
      <c r="I181" s="121"/>
      <c r="J181" s="130"/>
      <c r="K181" s="130"/>
      <c r="L181" s="130"/>
      <c r="M181" s="130"/>
      <c r="N181" s="130"/>
      <c r="O181" s="130"/>
      <c r="P181" s="130"/>
    </row>
    <row r="182" spans="1:16" ht="20.149999999999999" hidden="1" customHeight="1">
      <c r="A182" s="129" t="str">
        <f>IF(LEN(F25)&gt;0,MAX(A$63:$A181)+1,"")</f>
        <v/>
      </c>
      <c r="B182" s="125" t="str">
        <f t="shared" si="12"/>
        <v/>
      </c>
      <c r="C182" s="48"/>
      <c r="D182" s="124"/>
      <c r="E182" s="129" t="str">
        <f>IF(LEN(F50)&gt;0,MAX($E$63:E181)+1,"")</f>
        <v/>
      </c>
      <c r="F182" s="125" t="str">
        <f t="shared" si="14"/>
        <v/>
      </c>
      <c r="G182" s="48"/>
      <c r="H182" s="124"/>
      <c r="M182" s="121"/>
      <c r="N182" s="121"/>
      <c r="O182" s="121"/>
      <c r="P182" s="121"/>
    </row>
    <row r="183" spans="1:16" ht="20.149999999999999" hidden="1" customHeight="1">
      <c r="A183" s="129" t="str">
        <f>IF(LEN(G6)&gt;0,MAX(A$63:$A182)+1,"")</f>
        <v/>
      </c>
      <c r="B183" s="125" t="str">
        <f t="shared" ref="B183:B202" si="15">IF(LEN(G6)&gt;0,G6,"")</f>
        <v/>
      </c>
      <c r="C183" s="48" t="b">
        <f>IF(SUM(A183:A202)&gt;0,MIN(A183:A202))</f>
        <v>0</v>
      </c>
      <c r="D183" s="127" t="b">
        <f>IF(SUM(A183:A202)&gt;0,G5)</f>
        <v>0</v>
      </c>
      <c r="E183" s="129">
        <f>IF(LEN(G31)&gt;0,MAX($E$63:E182)+1,"")</f>
        <v>23</v>
      </c>
      <c r="F183" s="125" t="str">
        <f>IF(LEN(G31)&gt;0,G31,"")</f>
        <v>잡화구입비</v>
      </c>
      <c r="G183" s="48">
        <f>IF(SUM(E183:E202)&gt;0,MIN(E183:E202))</f>
        <v>23</v>
      </c>
      <c r="H183" s="127" t="str">
        <f>IF(SUM(E183:E202)&gt;0,G30)</f>
        <v>기타지출</v>
      </c>
      <c r="M183" s="121"/>
      <c r="N183" s="121"/>
      <c r="O183" s="121"/>
      <c r="P183" s="121"/>
    </row>
    <row r="184" spans="1:16" ht="20.149999999999999" hidden="1" customHeight="1">
      <c r="A184" s="129" t="str">
        <f>IF(LEN(G7)&gt;0,MAX(A$63:$A183)+1,"")</f>
        <v/>
      </c>
      <c r="B184" s="125" t="str">
        <f t="shared" si="15"/>
        <v/>
      </c>
      <c r="C184" s="48"/>
      <c r="D184" s="124"/>
      <c r="E184" s="129">
        <f>IF(LEN(G32)&gt;0,MAX($E$63:E183)+1,"")</f>
        <v>24</v>
      </c>
      <c r="F184" s="125" t="str">
        <f>IF(LEN(G32)&gt;0,G32,"")</f>
        <v>비품구입비</v>
      </c>
      <c r="G184" s="48"/>
      <c r="H184" s="124"/>
      <c r="M184" s="121"/>
      <c r="N184" s="121"/>
      <c r="O184" s="121"/>
      <c r="P184" s="121"/>
    </row>
    <row r="185" spans="1:16" ht="20.149999999999999" hidden="1" customHeight="1">
      <c r="A185" s="129" t="str">
        <f>IF(LEN(G8)&gt;0,MAX(A$63:$A184)+1,"")</f>
        <v/>
      </c>
      <c r="B185" s="125" t="str">
        <f t="shared" si="15"/>
        <v/>
      </c>
      <c r="C185" s="48"/>
      <c r="D185" s="124"/>
      <c r="E185" s="129">
        <f>IF(LEN(G33)&gt;0,MAX($E$63:E184)+1,"")</f>
        <v>25</v>
      </c>
      <c r="F185" s="125" t="str">
        <f t="shared" ref="F185:F202" si="16">IF(LEN(G33)&gt;0,G33,"")</f>
        <v>기타지출</v>
      </c>
      <c r="G185" s="48"/>
      <c r="H185" s="124"/>
      <c r="M185" s="121"/>
      <c r="N185" s="121"/>
      <c r="O185" s="121"/>
      <c r="P185" s="121"/>
    </row>
    <row r="186" spans="1:16" ht="20.149999999999999" hidden="1" customHeight="1">
      <c r="A186" s="129" t="str">
        <f>IF(LEN(G9)&gt;0,MAX(A$63:$A185)+1,"")</f>
        <v/>
      </c>
      <c r="B186" s="125" t="str">
        <f t="shared" si="15"/>
        <v/>
      </c>
      <c r="C186" s="48"/>
      <c r="D186" s="124"/>
      <c r="E186" s="129" t="str">
        <f>IF(LEN(G34)&gt;0,MAX($E$63:E185)+1,"")</f>
        <v/>
      </c>
      <c r="F186" s="125" t="str">
        <f t="shared" si="16"/>
        <v/>
      </c>
      <c r="G186" s="48"/>
      <c r="H186" s="124"/>
      <c r="M186" s="121"/>
      <c r="N186" s="121"/>
      <c r="O186" s="121"/>
      <c r="P186" s="121"/>
    </row>
    <row r="187" spans="1:16" ht="20.149999999999999" hidden="1" customHeight="1">
      <c r="A187" s="129" t="str">
        <f>IF(LEN(G10)&gt;0,MAX(A$63:$A186)+1,"")</f>
        <v/>
      </c>
      <c r="B187" s="125" t="str">
        <f t="shared" si="15"/>
        <v/>
      </c>
      <c r="C187" s="48"/>
      <c r="D187" s="124"/>
      <c r="E187" s="129" t="str">
        <f>IF(LEN(G35)&gt;0,MAX($E$63:E186)+1,"")</f>
        <v/>
      </c>
      <c r="F187" s="125" t="str">
        <f t="shared" si="16"/>
        <v/>
      </c>
      <c r="G187" s="48"/>
      <c r="H187" s="124"/>
      <c r="M187" s="121"/>
      <c r="N187" s="121"/>
      <c r="O187" s="121"/>
      <c r="P187" s="121"/>
    </row>
    <row r="188" spans="1:16" ht="20.149999999999999" hidden="1" customHeight="1">
      <c r="A188" s="129" t="str">
        <f>IF(LEN(G11)&gt;0,MAX(A$63:$A187)+1,"")</f>
        <v/>
      </c>
      <c r="B188" s="125" t="str">
        <f t="shared" si="15"/>
        <v/>
      </c>
      <c r="C188" s="48"/>
      <c r="D188" s="124"/>
      <c r="E188" s="129" t="str">
        <f>IF(LEN(G36)&gt;0,MAX($E$63:E187)+1,"")</f>
        <v/>
      </c>
      <c r="F188" s="125" t="str">
        <f t="shared" si="16"/>
        <v/>
      </c>
      <c r="G188" s="48"/>
      <c r="H188" s="124"/>
      <c r="M188" s="121"/>
      <c r="N188" s="121"/>
      <c r="O188" s="121"/>
      <c r="P188" s="121"/>
    </row>
    <row r="189" spans="1:16" ht="20.149999999999999" hidden="1" customHeight="1">
      <c r="A189" s="129" t="str">
        <f>IF(LEN(G12)&gt;0,MAX(A$63:$A188)+1,"")</f>
        <v/>
      </c>
      <c r="B189" s="125" t="str">
        <f t="shared" si="15"/>
        <v/>
      </c>
      <c r="C189" s="48"/>
      <c r="D189" s="124"/>
      <c r="E189" s="129" t="str">
        <f>IF(LEN(G37)&gt;0,MAX($E$63:E188)+1,"")</f>
        <v/>
      </c>
      <c r="F189" s="125" t="str">
        <f t="shared" si="16"/>
        <v/>
      </c>
      <c r="G189" s="48"/>
      <c r="H189" s="124"/>
      <c r="M189" s="121"/>
      <c r="N189" s="121"/>
      <c r="O189" s="121"/>
      <c r="P189" s="121"/>
    </row>
    <row r="190" spans="1:16" ht="20.149999999999999" hidden="1" customHeight="1">
      <c r="A190" s="129" t="str">
        <f>IF(LEN(G13)&gt;0,MAX(A$63:$A189)+1,"")</f>
        <v/>
      </c>
      <c r="B190" s="125" t="str">
        <f t="shared" si="15"/>
        <v/>
      </c>
      <c r="C190" s="48"/>
      <c r="D190" s="124"/>
      <c r="E190" s="129" t="str">
        <f>IF(LEN(G38)&gt;0,MAX($E$63:E189)+1,"")</f>
        <v/>
      </c>
      <c r="F190" s="125" t="str">
        <f t="shared" si="16"/>
        <v/>
      </c>
      <c r="G190" s="48"/>
      <c r="H190" s="124"/>
      <c r="M190" s="121"/>
      <c r="N190" s="121"/>
      <c r="O190" s="121"/>
      <c r="P190" s="121"/>
    </row>
    <row r="191" spans="1:16" ht="20.149999999999999" hidden="1" customHeight="1">
      <c r="A191" s="129" t="str">
        <f>IF(LEN(G14)&gt;0,MAX(A$63:$A190)+1,"")</f>
        <v/>
      </c>
      <c r="B191" s="125" t="str">
        <f t="shared" si="15"/>
        <v/>
      </c>
      <c r="C191" s="48"/>
      <c r="D191" s="124"/>
      <c r="E191" s="129" t="str">
        <f>IF(LEN(G39)&gt;0,MAX($E$63:E190)+1,"")</f>
        <v/>
      </c>
      <c r="F191" s="125" t="str">
        <f t="shared" si="16"/>
        <v/>
      </c>
      <c r="G191" s="48"/>
      <c r="H191" s="124"/>
      <c r="M191" s="121"/>
      <c r="N191" s="121"/>
      <c r="O191" s="121"/>
      <c r="P191" s="121"/>
    </row>
    <row r="192" spans="1:16" ht="20.149999999999999" hidden="1" customHeight="1">
      <c r="A192" s="129" t="str">
        <f>IF(LEN(G15)&gt;0,MAX(A$63:$A191)+1,"")</f>
        <v/>
      </c>
      <c r="B192" s="125" t="str">
        <f t="shared" si="15"/>
        <v/>
      </c>
      <c r="C192" s="48"/>
      <c r="D192" s="124"/>
      <c r="E192" s="129" t="str">
        <f>IF(LEN(G40)&gt;0,MAX($E$63:E191)+1,"")</f>
        <v/>
      </c>
      <c r="F192" s="125" t="str">
        <f t="shared" si="16"/>
        <v/>
      </c>
      <c r="G192" s="48"/>
      <c r="H192" s="124"/>
      <c r="M192" s="121"/>
      <c r="N192" s="121"/>
      <c r="O192" s="121"/>
      <c r="P192" s="121"/>
    </row>
    <row r="193" spans="1:16" ht="20.149999999999999" hidden="1" customHeight="1">
      <c r="A193" s="129" t="str">
        <f>IF(LEN(G16)&gt;0,MAX(A$63:$A192)+1,"")</f>
        <v/>
      </c>
      <c r="B193" s="125" t="str">
        <f t="shared" si="15"/>
        <v/>
      </c>
      <c r="C193" s="48"/>
      <c r="D193" s="124"/>
      <c r="E193" s="129" t="str">
        <f>IF(LEN(G41)&gt;0,MAX($E$63:E192)+1,"")</f>
        <v/>
      </c>
      <c r="F193" s="125" t="str">
        <f t="shared" si="16"/>
        <v/>
      </c>
      <c r="G193" s="48"/>
      <c r="H193" s="124"/>
      <c r="M193" s="121"/>
      <c r="N193" s="121"/>
      <c r="O193" s="121"/>
      <c r="P193" s="121"/>
    </row>
    <row r="194" spans="1:16" ht="20.149999999999999" hidden="1" customHeight="1">
      <c r="A194" s="129" t="str">
        <f>IF(LEN(G17)&gt;0,MAX(A$63:$A193)+1,"")</f>
        <v/>
      </c>
      <c r="B194" s="125" t="str">
        <f t="shared" si="15"/>
        <v/>
      </c>
      <c r="C194" s="48"/>
      <c r="D194" s="124"/>
      <c r="E194" s="129" t="str">
        <f>IF(LEN(G42)&gt;0,MAX($E$63:E193)+1,"")</f>
        <v/>
      </c>
      <c r="F194" s="125" t="str">
        <f t="shared" si="16"/>
        <v/>
      </c>
      <c r="G194" s="48"/>
      <c r="H194" s="124"/>
      <c r="M194" s="121"/>
      <c r="N194" s="121"/>
      <c r="O194" s="121"/>
      <c r="P194" s="121"/>
    </row>
    <row r="195" spans="1:16" ht="20.149999999999999" hidden="1" customHeight="1">
      <c r="A195" s="129" t="str">
        <f>IF(LEN(G18)&gt;0,MAX(A$63:$A194)+1,"")</f>
        <v/>
      </c>
      <c r="B195" s="125" t="str">
        <f t="shared" si="15"/>
        <v/>
      </c>
      <c r="C195" s="48"/>
      <c r="D195" s="124"/>
      <c r="E195" s="129" t="str">
        <f>IF(LEN(G43)&gt;0,MAX($E$63:E194)+1,"")</f>
        <v/>
      </c>
      <c r="F195" s="125" t="str">
        <f t="shared" si="16"/>
        <v/>
      </c>
      <c r="G195" s="48"/>
      <c r="H195" s="124"/>
      <c r="M195" s="121"/>
      <c r="N195" s="121"/>
      <c r="O195" s="121"/>
      <c r="P195" s="121"/>
    </row>
    <row r="196" spans="1:16" ht="20.149999999999999" hidden="1" customHeight="1">
      <c r="A196" s="129" t="str">
        <f>IF(LEN(G19)&gt;0,MAX(A$63:$A195)+1,"")</f>
        <v/>
      </c>
      <c r="B196" s="125" t="str">
        <f t="shared" si="15"/>
        <v/>
      </c>
      <c r="C196" s="48"/>
      <c r="D196" s="124"/>
      <c r="E196" s="129" t="str">
        <f>IF(LEN(G44)&gt;0,MAX($E$63:E195)+1,"")</f>
        <v/>
      </c>
      <c r="F196" s="125" t="str">
        <f t="shared" si="16"/>
        <v/>
      </c>
      <c r="G196" s="48"/>
      <c r="H196" s="124"/>
      <c r="M196" s="121"/>
      <c r="N196" s="121"/>
      <c r="O196" s="121"/>
      <c r="P196" s="121"/>
    </row>
    <row r="197" spans="1:16" ht="20.149999999999999" hidden="1" customHeight="1">
      <c r="A197" s="129" t="str">
        <f>IF(LEN(G20)&gt;0,MAX(A$63:$A196)+1,"")</f>
        <v/>
      </c>
      <c r="B197" s="125" t="str">
        <f t="shared" si="15"/>
        <v/>
      </c>
      <c r="C197" s="48"/>
      <c r="D197" s="124"/>
      <c r="E197" s="129" t="str">
        <f>IF(LEN(G45)&gt;0,MAX($E$63:E196)+1,"")</f>
        <v/>
      </c>
      <c r="F197" s="125" t="str">
        <f t="shared" si="16"/>
        <v/>
      </c>
      <c r="G197" s="48"/>
      <c r="H197" s="124"/>
      <c r="M197" s="121"/>
      <c r="N197" s="121"/>
      <c r="O197" s="121"/>
      <c r="P197" s="121"/>
    </row>
    <row r="198" spans="1:16" ht="20.149999999999999" hidden="1" customHeight="1">
      <c r="A198" s="129" t="str">
        <f>IF(LEN(G21)&gt;0,MAX(A$63:$A197)+1,"")</f>
        <v/>
      </c>
      <c r="B198" s="125" t="str">
        <f t="shared" si="15"/>
        <v/>
      </c>
      <c r="C198" s="48"/>
      <c r="D198" s="124"/>
      <c r="E198" s="129" t="str">
        <f>IF(LEN(G46)&gt;0,MAX($E$63:E197)+1,"")</f>
        <v/>
      </c>
      <c r="F198" s="125" t="str">
        <f t="shared" si="16"/>
        <v/>
      </c>
      <c r="G198" s="48"/>
      <c r="H198" s="124"/>
      <c r="M198" s="121"/>
      <c r="N198" s="121"/>
      <c r="O198" s="121"/>
      <c r="P198" s="121"/>
    </row>
    <row r="199" spans="1:16" ht="20.149999999999999" hidden="1" customHeight="1">
      <c r="A199" s="129" t="str">
        <f>IF(LEN(G22)&gt;0,MAX(A$63:$A198)+1,"")</f>
        <v/>
      </c>
      <c r="B199" s="125" t="str">
        <f t="shared" si="15"/>
        <v/>
      </c>
      <c r="C199" s="48"/>
      <c r="D199" s="124"/>
      <c r="E199" s="129" t="str">
        <f>IF(LEN(G47)&gt;0,MAX($E$63:E198)+1,"")</f>
        <v/>
      </c>
      <c r="F199" s="125" t="str">
        <f t="shared" si="16"/>
        <v/>
      </c>
      <c r="G199" s="48"/>
      <c r="H199" s="124"/>
      <c r="M199" s="121"/>
      <c r="N199" s="121"/>
      <c r="O199" s="121"/>
      <c r="P199" s="121"/>
    </row>
    <row r="200" spans="1:16" s="120" customFormat="1" ht="20.149999999999999" hidden="1" customHeight="1">
      <c r="A200" s="129" t="str">
        <f>IF(LEN(G23)&gt;0,MAX(A$63:$A199)+1,"")</f>
        <v/>
      </c>
      <c r="B200" s="125" t="str">
        <f t="shared" si="15"/>
        <v/>
      </c>
      <c r="C200" s="48"/>
      <c r="D200" s="124"/>
      <c r="E200" s="129" t="str">
        <f>IF(LEN(G48)&gt;0,MAX($E$63:E199)+1,"")</f>
        <v/>
      </c>
      <c r="F200" s="125" t="str">
        <f t="shared" si="16"/>
        <v/>
      </c>
      <c r="G200" s="48"/>
      <c r="H200" s="124"/>
      <c r="I200" s="121"/>
      <c r="J200" s="130"/>
      <c r="K200" s="130"/>
      <c r="L200" s="130"/>
      <c r="M200" s="130"/>
      <c r="N200" s="130"/>
      <c r="O200" s="130"/>
      <c r="P200" s="130"/>
    </row>
    <row r="201" spans="1:16" s="120" customFormat="1" ht="20.149999999999999" hidden="1" customHeight="1">
      <c r="A201" s="129" t="str">
        <f>IF(LEN(G24)&gt;0,MAX(A$63:$A200)+1,"")</f>
        <v/>
      </c>
      <c r="B201" s="125" t="str">
        <f t="shared" si="15"/>
        <v/>
      </c>
      <c r="C201" s="48"/>
      <c r="D201" s="124"/>
      <c r="E201" s="129" t="str">
        <f>IF(LEN(G49)&gt;0,MAX($E$63:E200)+1,"")</f>
        <v/>
      </c>
      <c r="F201" s="125" t="str">
        <f t="shared" si="16"/>
        <v/>
      </c>
      <c r="G201" s="48"/>
      <c r="H201" s="124"/>
      <c r="I201" s="121"/>
      <c r="J201" s="130"/>
      <c r="K201" s="130"/>
      <c r="L201" s="130"/>
      <c r="M201" s="130"/>
      <c r="N201" s="130"/>
      <c r="O201" s="130"/>
      <c r="P201" s="130"/>
    </row>
    <row r="202" spans="1:16" s="120" customFormat="1" ht="20.149999999999999" hidden="1" customHeight="1">
      <c r="A202" s="129" t="str">
        <f>IF(LEN(G25)&gt;0,MAX(A$63:$A201)+1,"")</f>
        <v/>
      </c>
      <c r="B202" s="125" t="str">
        <f t="shared" si="15"/>
        <v/>
      </c>
      <c r="C202" s="48"/>
      <c r="D202" s="124"/>
      <c r="E202" s="129" t="str">
        <f>IF(LEN(G50)&gt;0,MAX($E$63:E201)+1,"")</f>
        <v/>
      </c>
      <c r="F202" s="125" t="str">
        <f t="shared" si="16"/>
        <v/>
      </c>
      <c r="G202" s="48"/>
      <c r="H202" s="124"/>
      <c r="I202" s="121"/>
      <c r="J202" s="130"/>
      <c r="K202" s="130"/>
      <c r="L202" s="130"/>
      <c r="M202" s="130"/>
      <c r="N202" s="130"/>
      <c r="O202" s="130"/>
      <c r="P202" s="130"/>
    </row>
    <row r="203" spans="1:16" s="120" customFormat="1" ht="20.149999999999999" hidden="1" customHeight="1">
      <c r="A203" s="129" t="str">
        <f>IF(LEN(H6)&gt;0,MAX(A$63:$A202)+1,"")</f>
        <v/>
      </c>
      <c r="B203" s="125" t="str">
        <f t="shared" ref="B203:B222" si="17">IF(LEN(H6)&gt;0,H6,"")</f>
        <v/>
      </c>
      <c r="C203" s="48" t="b">
        <f>IF(SUM(A203:A222)&gt;0,MIN(A203:A222))</f>
        <v>0</v>
      </c>
      <c r="D203" s="127" t="b">
        <f>IF(SUM(A203:A222)&gt;0,H5)</f>
        <v>0</v>
      </c>
      <c r="E203" s="129" t="str">
        <f>IF(LEN(H31)&gt;0,MAX($E$63:E202)+1,"")</f>
        <v/>
      </c>
      <c r="F203" s="125" t="str">
        <f>IF(LEN(H31)&gt;0,H31,"")</f>
        <v/>
      </c>
      <c r="G203" s="48" t="b">
        <f>IF(SUM(E203:E222)&gt;0,MIN(E203:E222))</f>
        <v>0</v>
      </c>
      <c r="H203" s="127" t="b">
        <f>IF(SUM(E203:E222)&gt;0,H30)</f>
        <v>0</v>
      </c>
      <c r="I203" s="121"/>
      <c r="J203" s="130"/>
      <c r="K203" s="130"/>
      <c r="L203" s="130"/>
      <c r="M203" s="130"/>
      <c r="N203" s="130"/>
      <c r="O203" s="130"/>
      <c r="P203" s="130"/>
    </row>
    <row r="204" spans="1:16" s="120" customFormat="1" ht="20.149999999999999" hidden="1" customHeight="1">
      <c r="A204" s="129" t="str">
        <f>IF(LEN(H7)&gt;0,MAX(A$63:$A203)+1,"")</f>
        <v/>
      </c>
      <c r="B204" s="125" t="str">
        <f t="shared" si="17"/>
        <v/>
      </c>
      <c r="C204" s="48"/>
      <c r="D204" s="127"/>
      <c r="E204" s="129" t="str">
        <f>IF(LEN(H32)&gt;0,MAX($E$63:E203)+1,"")</f>
        <v/>
      </c>
      <c r="F204" s="125" t="str">
        <f t="shared" ref="F204:F222" si="18">IF(LEN(H32)&gt;0,H32,"")</f>
        <v/>
      </c>
      <c r="G204" s="48"/>
      <c r="H204" s="127"/>
      <c r="I204" s="121"/>
      <c r="J204" s="130"/>
      <c r="K204" s="130"/>
      <c r="L204" s="130"/>
      <c r="M204" s="130"/>
      <c r="N204" s="130"/>
      <c r="O204" s="130"/>
      <c r="P204" s="130"/>
    </row>
    <row r="205" spans="1:16" s="120" customFormat="1" ht="20.149999999999999" hidden="1" customHeight="1">
      <c r="A205" s="129" t="str">
        <f>IF(LEN(H8)&gt;0,MAX(A$63:$A204)+1,"")</f>
        <v/>
      </c>
      <c r="B205" s="125" t="str">
        <f t="shared" si="17"/>
        <v/>
      </c>
      <c r="C205" s="48"/>
      <c r="D205" s="127"/>
      <c r="E205" s="129" t="str">
        <f>IF(LEN(H33)&gt;0,MAX($E$63:E204)+1,"")</f>
        <v/>
      </c>
      <c r="F205" s="125" t="str">
        <f t="shared" si="18"/>
        <v/>
      </c>
      <c r="G205" s="48"/>
      <c r="H205" s="127"/>
      <c r="I205" s="121"/>
      <c r="J205" s="130"/>
      <c r="K205" s="130"/>
      <c r="L205" s="130"/>
      <c r="M205" s="130"/>
      <c r="N205" s="130"/>
      <c r="O205" s="130"/>
      <c r="P205" s="130"/>
    </row>
    <row r="206" spans="1:16" s="120" customFormat="1" ht="20.149999999999999" hidden="1" customHeight="1">
      <c r="A206" s="129" t="str">
        <f>IF(LEN(H9)&gt;0,MAX(A$63:$A205)+1,"")</f>
        <v/>
      </c>
      <c r="B206" s="125" t="str">
        <f t="shared" si="17"/>
        <v/>
      </c>
      <c r="C206" s="48"/>
      <c r="D206" s="127"/>
      <c r="E206" s="129" t="str">
        <f>IF(LEN(H34)&gt;0,MAX($E$63:E205)+1,"")</f>
        <v/>
      </c>
      <c r="F206" s="125" t="str">
        <f t="shared" si="18"/>
        <v/>
      </c>
      <c r="G206" s="48"/>
      <c r="H206" s="127"/>
      <c r="I206" s="121"/>
      <c r="J206" s="130"/>
      <c r="K206" s="130"/>
      <c r="L206" s="130"/>
      <c r="M206" s="130"/>
      <c r="N206" s="130"/>
      <c r="O206" s="130"/>
      <c r="P206" s="130"/>
    </row>
    <row r="207" spans="1:16" s="120" customFormat="1" ht="20.149999999999999" hidden="1" customHeight="1">
      <c r="A207" s="129" t="str">
        <f>IF(LEN(H10)&gt;0,MAX(A$63:$A206)+1,"")</f>
        <v/>
      </c>
      <c r="B207" s="125" t="str">
        <f t="shared" si="17"/>
        <v/>
      </c>
      <c r="C207" s="48"/>
      <c r="D207" s="127"/>
      <c r="E207" s="129" t="str">
        <f>IF(LEN(H35)&gt;0,MAX($E$63:E206)+1,"")</f>
        <v/>
      </c>
      <c r="F207" s="125" t="str">
        <f t="shared" si="18"/>
        <v/>
      </c>
      <c r="G207" s="48"/>
      <c r="H207" s="127"/>
      <c r="I207" s="121"/>
      <c r="J207" s="130"/>
      <c r="K207" s="130"/>
      <c r="L207" s="130"/>
      <c r="M207" s="130"/>
      <c r="N207" s="130"/>
      <c r="O207" s="130"/>
      <c r="P207" s="130"/>
    </row>
    <row r="208" spans="1:16" s="120" customFormat="1" ht="20.149999999999999" hidden="1" customHeight="1">
      <c r="A208" s="129" t="str">
        <f>IF(LEN(H11)&gt;0,MAX(A$63:$A207)+1,"")</f>
        <v/>
      </c>
      <c r="B208" s="125" t="str">
        <f t="shared" si="17"/>
        <v/>
      </c>
      <c r="C208" s="48"/>
      <c r="D208" s="127"/>
      <c r="E208" s="129" t="str">
        <f>IF(LEN(H36)&gt;0,MAX($E$63:E207)+1,"")</f>
        <v/>
      </c>
      <c r="F208" s="125" t="str">
        <f t="shared" si="18"/>
        <v/>
      </c>
      <c r="G208" s="48"/>
      <c r="H208" s="127"/>
      <c r="I208" s="121"/>
      <c r="J208" s="130"/>
      <c r="K208" s="130"/>
      <c r="L208" s="130"/>
      <c r="M208" s="130"/>
      <c r="N208" s="130"/>
      <c r="O208" s="130"/>
      <c r="P208" s="130"/>
    </row>
    <row r="209" spans="1:16" s="120" customFormat="1" ht="20.149999999999999" hidden="1" customHeight="1">
      <c r="A209" s="129" t="str">
        <f>IF(LEN(H12)&gt;0,MAX(A$63:$A208)+1,"")</f>
        <v/>
      </c>
      <c r="B209" s="125" t="str">
        <f t="shared" si="17"/>
        <v/>
      </c>
      <c r="C209" s="48"/>
      <c r="D209" s="127"/>
      <c r="E209" s="129" t="str">
        <f>IF(LEN(H37)&gt;0,MAX($E$63:E208)+1,"")</f>
        <v/>
      </c>
      <c r="F209" s="125" t="str">
        <f t="shared" si="18"/>
        <v/>
      </c>
      <c r="G209" s="48"/>
      <c r="H209" s="127"/>
      <c r="I209" s="121"/>
      <c r="J209" s="130"/>
      <c r="K209" s="130"/>
      <c r="L209" s="130"/>
      <c r="M209" s="130"/>
      <c r="N209" s="130"/>
      <c r="O209" s="130"/>
      <c r="P209" s="130"/>
    </row>
    <row r="210" spans="1:16" s="120" customFormat="1" ht="20.149999999999999" hidden="1" customHeight="1">
      <c r="A210" s="129" t="str">
        <f>IF(LEN(H13)&gt;0,MAX(A$63:$A209)+1,"")</f>
        <v/>
      </c>
      <c r="B210" s="125" t="str">
        <f t="shared" si="17"/>
        <v/>
      </c>
      <c r="C210" s="48"/>
      <c r="D210" s="127"/>
      <c r="E210" s="129" t="str">
        <f>IF(LEN(H38)&gt;0,MAX($E$63:E209)+1,"")</f>
        <v/>
      </c>
      <c r="F210" s="125" t="str">
        <f t="shared" si="18"/>
        <v/>
      </c>
      <c r="G210" s="48"/>
      <c r="H210" s="127"/>
      <c r="I210" s="121"/>
      <c r="J210" s="130"/>
      <c r="K210" s="130"/>
      <c r="L210" s="130"/>
      <c r="M210" s="130"/>
      <c r="N210" s="130"/>
      <c r="O210" s="130"/>
      <c r="P210" s="130"/>
    </row>
    <row r="211" spans="1:16" s="120" customFormat="1" ht="20.149999999999999" hidden="1" customHeight="1">
      <c r="A211" s="129" t="str">
        <f>IF(LEN(H14)&gt;0,MAX(A$63:$A210)+1,"")</f>
        <v/>
      </c>
      <c r="B211" s="125" t="str">
        <f t="shared" si="17"/>
        <v/>
      </c>
      <c r="C211" s="48"/>
      <c r="D211" s="127"/>
      <c r="E211" s="129" t="str">
        <f>IF(LEN(H39)&gt;0,MAX($E$63:E210)+1,"")</f>
        <v/>
      </c>
      <c r="F211" s="125" t="str">
        <f t="shared" si="18"/>
        <v/>
      </c>
      <c r="G211" s="48"/>
      <c r="H211" s="127"/>
      <c r="I211" s="121"/>
      <c r="J211" s="130"/>
      <c r="K211" s="130"/>
      <c r="L211" s="130"/>
      <c r="M211" s="130"/>
      <c r="N211" s="130"/>
      <c r="O211" s="130"/>
      <c r="P211" s="130"/>
    </row>
    <row r="212" spans="1:16" s="120" customFormat="1" ht="20.149999999999999" hidden="1" customHeight="1">
      <c r="A212" s="129" t="str">
        <f>IF(LEN(H15)&gt;0,MAX(A$63:$A211)+1,"")</f>
        <v/>
      </c>
      <c r="B212" s="125" t="str">
        <f t="shared" si="17"/>
        <v/>
      </c>
      <c r="C212" s="48"/>
      <c r="D212" s="127"/>
      <c r="E212" s="129" t="str">
        <f>IF(LEN(H40)&gt;0,MAX($E$63:E211)+1,"")</f>
        <v/>
      </c>
      <c r="F212" s="125" t="str">
        <f t="shared" si="18"/>
        <v/>
      </c>
      <c r="G212" s="48"/>
      <c r="H212" s="127"/>
      <c r="I212" s="121"/>
      <c r="J212" s="130"/>
      <c r="K212" s="130"/>
      <c r="L212" s="130"/>
      <c r="M212" s="130"/>
      <c r="N212" s="130"/>
      <c r="O212" s="130"/>
      <c r="P212" s="130"/>
    </row>
    <row r="213" spans="1:16" s="120" customFormat="1" ht="20.149999999999999" hidden="1" customHeight="1">
      <c r="A213" s="129" t="str">
        <f>IF(LEN(H16)&gt;0,MAX(A$63:$A212)+1,"")</f>
        <v/>
      </c>
      <c r="B213" s="125" t="str">
        <f t="shared" si="17"/>
        <v/>
      </c>
      <c r="C213" s="48"/>
      <c r="D213" s="127"/>
      <c r="E213" s="129" t="str">
        <f>IF(LEN(H41)&gt;0,MAX($E$63:E212)+1,"")</f>
        <v/>
      </c>
      <c r="F213" s="125" t="str">
        <f t="shared" si="18"/>
        <v/>
      </c>
      <c r="G213" s="48"/>
      <c r="H213" s="127"/>
      <c r="I213" s="121"/>
      <c r="J213" s="130"/>
      <c r="K213" s="130"/>
      <c r="L213" s="130"/>
      <c r="M213" s="130"/>
      <c r="N213" s="130"/>
      <c r="O213" s="130"/>
      <c r="P213" s="130"/>
    </row>
    <row r="214" spans="1:16" s="120" customFormat="1" ht="20.149999999999999" hidden="1" customHeight="1">
      <c r="A214" s="129" t="str">
        <f>IF(LEN(H17)&gt;0,MAX(A$63:$A213)+1,"")</f>
        <v/>
      </c>
      <c r="B214" s="125" t="str">
        <f t="shared" si="17"/>
        <v/>
      </c>
      <c r="C214" s="48"/>
      <c r="D214" s="127"/>
      <c r="E214" s="129" t="str">
        <f>IF(LEN(H42)&gt;0,MAX($E$63:E213)+1,"")</f>
        <v/>
      </c>
      <c r="F214" s="125" t="str">
        <f t="shared" si="18"/>
        <v/>
      </c>
      <c r="G214" s="48"/>
      <c r="H214" s="127"/>
      <c r="I214" s="121"/>
      <c r="J214" s="130"/>
      <c r="K214" s="130"/>
      <c r="L214" s="130"/>
      <c r="M214" s="130"/>
      <c r="N214" s="130"/>
      <c r="O214" s="130"/>
      <c r="P214" s="130"/>
    </row>
    <row r="215" spans="1:16" s="120" customFormat="1" ht="20.149999999999999" hidden="1" customHeight="1">
      <c r="A215" s="129" t="str">
        <f>IF(LEN(H18)&gt;0,MAX(A$63:$A214)+1,"")</f>
        <v/>
      </c>
      <c r="B215" s="125" t="str">
        <f t="shared" si="17"/>
        <v/>
      </c>
      <c r="C215" s="48"/>
      <c r="D215" s="127"/>
      <c r="E215" s="129" t="str">
        <f>IF(LEN(H43)&gt;0,MAX($E$63:E214)+1,"")</f>
        <v/>
      </c>
      <c r="F215" s="125" t="str">
        <f t="shared" si="18"/>
        <v/>
      </c>
      <c r="G215" s="48"/>
      <c r="H215" s="127"/>
      <c r="I215" s="121"/>
      <c r="J215" s="130"/>
      <c r="K215" s="130"/>
      <c r="L215" s="130"/>
      <c r="M215" s="130"/>
      <c r="N215" s="130"/>
      <c r="O215" s="130"/>
      <c r="P215" s="130"/>
    </row>
    <row r="216" spans="1:16" s="120" customFormat="1" ht="20.149999999999999" hidden="1" customHeight="1">
      <c r="A216" s="129" t="str">
        <f>IF(LEN(H19)&gt;0,MAX(A$63:$A215)+1,"")</f>
        <v/>
      </c>
      <c r="B216" s="125" t="str">
        <f t="shared" si="17"/>
        <v/>
      </c>
      <c r="C216" s="48"/>
      <c r="D216" s="127"/>
      <c r="E216" s="129" t="str">
        <f>IF(LEN(H44)&gt;0,MAX($E$63:E215)+1,"")</f>
        <v/>
      </c>
      <c r="F216" s="125" t="str">
        <f t="shared" si="18"/>
        <v/>
      </c>
      <c r="G216" s="48"/>
      <c r="H216" s="127"/>
      <c r="I216" s="121"/>
      <c r="J216" s="130"/>
      <c r="K216" s="130"/>
      <c r="L216" s="130"/>
      <c r="M216" s="130"/>
      <c r="N216" s="130"/>
      <c r="O216" s="130"/>
      <c r="P216" s="130"/>
    </row>
    <row r="217" spans="1:16" s="120" customFormat="1" ht="20.149999999999999" hidden="1" customHeight="1">
      <c r="A217" s="129" t="str">
        <f>IF(LEN(H20)&gt;0,MAX(A$63:$A216)+1,"")</f>
        <v/>
      </c>
      <c r="B217" s="125" t="str">
        <f t="shared" si="17"/>
        <v/>
      </c>
      <c r="C217" s="48"/>
      <c r="D217" s="127"/>
      <c r="E217" s="129" t="str">
        <f>IF(LEN(H45)&gt;0,MAX($E$63:E216)+1,"")</f>
        <v/>
      </c>
      <c r="F217" s="125" t="str">
        <f t="shared" si="18"/>
        <v/>
      </c>
      <c r="G217" s="48"/>
      <c r="H217" s="127"/>
      <c r="I217" s="121"/>
      <c r="J217" s="130"/>
      <c r="K217" s="130"/>
      <c r="L217" s="130"/>
      <c r="M217" s="130"/>
      <c r="N217" s="130"/>
      <c r="O217" s="130"/>
      <c r="P217" s="130"/>
    </row>
    <row r="218" spans="1:16" s="120" customFormat="1" ht="20.149999999999999" hidden="1" customHeight="1">
      <c r="A218" s="129" t="str">
        <f>IF(LEN(H21)&gt;0,MAX(A$63:$A217)+1,"")</f>
        <v/>
      </c>
      <c r="B218" s="125" t="str">
        <f t="shared" si="17"/>
        <v/>
      </c>
      <c r="C218" s="48"/>
      <c r="D218" s="124"/>
      <c r="E218" s="129" t="str">
        <f>IF(LEN(H46)&gt;0,MAX($E$63:E217)+1,"")</f>
        <v/>
      </c>
      <c r="F218" s="125" t="str">
        <f t="shared" si="18"/>
        <v/>
      </c>
      <c r="G218" s="48"/>
      <c r="H218" s="124"/>
      <c r="I218" s="121"/>
      <c r="J218" s="130"/>
      <c r="K218" s="130"/>
      <c r="L218" s="130"/>
      <c r="M218" s="130"/>
      <c r="N218" s="130"/>
      <c r="O218" s="130"/>
      <c r="P218" s="130"/>
    </row>
    <row r="219" spans="1:16" ht="20.149999999999999" hidden="1" customHeight="1">
      <c r="A219" s="129" t="str">
        <f>IF(LEN(H22)&gt;0,MAX(A$63:$A218)+1,"")</f>
        <v/>
      </c>
      <c r="B219" s="125" t="str">
        <f t="shared" si="17"/>
        <v/>
      </c>
      <c r="C219" s="48"/>
      <c r="D219" s="124"/>
      <c r="E219" s="129" t="str">
        <f>IF(LEN(H47)&gt;0,MAX($E$63:E218)+1,"")</f>
        <v/>
      </c>
      <c r="F219" s="125" t="str">
        <f t="shared" si="18"/>
        <v/>
      </c>
      <c r="G219" s="48"/>
      <c r="H219" s="124"/>
      <c r="M219" s="121"/>
      <c r="N219" s="121"/>
      <c r="O219" s="121"/>
      <c r="P219" s="121"/>
    </row>
    <row r="220" spans="1:16" s="120" customFormat="1" ht="20.149999999999999" hidden="1" customHeight="1">
      <c r="A220" s="129" t="str">
        <f>IF(LEN(H23)&gt;0,MAX(A$63:$A219)+1,"")</f>
        <v/>
      </c>
      <c r="B220" s="125" t="str">
        <f t="shared" si="17"/>
        <v/>
      </c>
      <c r="C220" s="48"/>
      <c r="D220" s="124"/>
      <c r="E220" s="129" t="str">
        <f>IF(LEN(H48)&gt;0,MAX($E$63:E219)+1,"")</f>
        <v/>
      </c>
      <c r="F220" s="125" t="str">
        <f t="shared" si="18"/>
        <v/>
      </c>
      <c r="G220" s="48"/>
      <c r="H220" s="124"/>
      <c r="I220" s="121"/>
      <c r="J220" s="130"/>
      <c r="K220" s="130"/>
      <c r="L220" s="130"/>
      <c r="M220" s="130"/>
      <c r="N220" s="130"/>
      <c r="O220" s="130"/>
      <c r="P220" s="130"/>
    </row>
    <row r="221" spans="1:16" ht="20.149999999999999" hidden="1" customHeight="1">
      <c r="A221" s="129" t="str">
        <f>IF(LEN(H24)&gt;0,MAX(A$63:$A220)+1,"")</f>
        <v/>
      </c>
      <c r="B221" s="125" t="str">
        <f t="shared" si="17"/>
        <v/>
      </c>
      <c r="C221" s="48"/>
      <c r="D221" s="124"/>
      <c r="E221" s="129" t="str">
        <f>IF(LEN(H49)&gt;0,MAX($E$63:E220)+1,"")</f>
        <v/>
      </c>
      <c r="F221" s="125" t="str">
        <f t="shared" si="18"/>
        <v/>
      </c>
      <c r="G221" s="48"/>
      <c r="H221" s="124"/>
      <c r="M221" s="121"/>
      <c r="N221" s="121"/>
      <c r="O221" s="121"/>
      <c r="P221" s="121"/>
    </row>
    <row r="222" spans="1:16" ht="20.149999999999999" hidden="1" customHeight="1">
      <c r="A222" s="129" t="str">
        <f>IF(LEN(H25)&gt;0,MAX(A$63:$A221)+1,"")</f>
        <v/>
      </c>
      <c r="B222" s="125" t="str">
        <f t="shared" si="17"/>
        <v/>
      </c>
      <c r="C222" s="48"/>
      <c r="D222" s="124"/>
      <c r="E222" s="129" t="str">
        <f>IF(LEN(H50)&gt;0,MAX($E$63:E221)+1,"")</f>
        <v/>
      </c>
      <c r="F222" s="125" t="str">
        <f t="shared" si="18"/>
        <v/>
      </c>
      <c r="G222" s="48"/>
      <c r="H222" s="124"/>
      <c r="M222" s="121"/>
      <c r="N222" s="121"/>
      <c r="O222" s="121"/>
      <c r="P222" s="121"/>
    </row>
    <row r="223" spans="1:16" ht="20.149999999999999" hidden="1" customHeight="1">
      <c r="A223" s="129" t="str">
        <f>IF(LEN(I6)&gt;0,MAX(A$63:$A222)+1,"")</f>
        <v/>
      </c>
      <c r="B223" s="125" t="str">
        <f t="shared" ref="B223:B242" si="19">IF(LEN(I6)&gt;0,I6,"")</f>
        <v/>
      </c>
      <c r="C223" s="48" t="b">
        <f>IF(SUM(A223:A242)&gt;0,MIN(A223:A242))</f>
        <v>0</v>
      </c>
      <c r="D223" s="127" t="b">
        <f>IF(SUM(A223:A242)&gt;0,I5)</f>
        <v>0</v>
      </c>
      <c r="E223" s="129" t="str">
        <f>IF(LEN(I31)&gt;0,MAX($E$63:E222)+1,"")</f>
        <v/>
      </c>
      <c r="F223" s="125" t="str">
        <f>IF(LEN(I31)&gt;0,I31,"")</f>
        <v/>
      </c>
      <c r="G223" s="48" t="b">
        <f>IF(SUM(E223:E242)&gt;0,MIN(E223:E242))</f>
        <v>0</v>
      </c>
      <c r="H223" s="127" t="b">
        <f>IF(SUM(E223:E242)&gt;0,I30)</f>
        <v>0</v>
      </c>
      <c r="M223" s="121"/>
      <c r="N223" s="121"/>
      <c r="O223" s="121"/>
      <c r="P223" s="121"/>
    </row>
    <row r="224" spans="1:16" ht="20.149999999999999" hidden="1" customHeight="1">
      <c r="A224" s="129" t="str">
        <f>IF(LEN(I7)&gt;0,MAX(A$63:$A223)+1,"")</f>
        <v/>
      </c>
      <c r="B224" s="125" t="str">
        <f t="shared" si="19"/>
        <v/>
      </c>
      <c r="C224" s="48"/>
      <c r="D224" s="127"/>
      <c r="E224" s="129" t="str">
        <f>IF(LEN(I32)&gt;0,MAX($E$63:E223)+1,"")</f>
        <v/>
      </c>
      <c r="F224" s="125" t="str">
        <f t="shared" ref="F224:F242" si="20">IF(LEN(I32)&gt;0,I32,"")</f>
        <v/>
      </c>
      <c r="G224" s="48"/>
      <c r="H224" s="127"/>
      <c r="M224" s="121"/>
      <c r="N224" s="121"/>
      <c r="O224" s="121"/>
      <c r="P224" s="121"/>
    </row>
    <row r="225" spans="1:16" ht="20.149999999999999" hidden="1" customHeight="1">
      <c r="A225" s="129" t="str">
        <f>IF(LEN(I8)&gt;0,MAX(A$63:$A224)+1,"")</f>
        <v/>
      </c>
      <c r="B225" s="125" t="str">
        <f t="shared" si="19"/>
        <v/>
      </c>
      <c r="C225" s="48"/>
      <c r="D225" s="127"/>
      <c r="E225" s="129" t="str">
        <f>IF(LEN(I33)&gt;0,MAX($E$63:E224)+1,"")</f>
        <v/>
      </c>
      <c r="F225" s="125" t="str">
        <f t="shared" si="20"/>
        <v/>
      </c>
      <c r="G225" s="48"/>
      <c r="H225" s="127"/>
      <c r="M225" s="121"/>
      <c r="N225" s="121"/>
      <c r="O225" s="121"/>
      <c r="P225" s="121"/>
    </row>
    <row r="226" spans="1:16" ht="20.149999999999999" hidden="1" customHeight="1">
      <c r="A226" s="129" t="str">
        <f>IF(LEN(I9)&gt;0,MAX(A$63:$A225)+1,"")</f>
        <v/>
      </c>
      <c r="B226" s="125" t="str">
        <f t="shared" si="19"/>
        <v/>
      </c>
      <c r="C226" s="48"/>
      <c r="D226" s="127"/>
      <c r="E226" s="129" t="str">
        <f>IF(LEN(I34)&gt;0,MAX($E$63:E225)+1,"")</f>
        <v/>
      </c>
      <c r="F226" s="125" t="str">
        <f t="shared" si="20"/>
        <v/>
      </c>
      <c r="G226" s="48"/>
      <c r="H226" s="127"/>
      <c r="M226" s="121"/>
      <c r="N226" s="121"/>
      <c r="O226" s="121"/>
      <c r="P226" s="121"/>
    </row>
    <row r="227" spans="1:16" ht="20.149999999999999" hidden="1" customHeight="1">
      <c r="A227" s="129" t="str">
        <f>IF(LEN(I10)&gt;0,MAX(A$63:$A226)+1,"")</f>
        <v/>
      </c>
      <c r="B227" s="125" t="str">
        <f t="shared" si="19"/>
        <v/>
      </c>
      <c r="C227" s="48"/>
      <c r="D227" s="127"/>
      <c r="E227" s="129" t="str">
        <f>IF(LEN(I35)&gt;0,MAX($E$63:E226)+1,"")</f>
        <v/>
      </c>
      <c r="F227" s="125" t="str">
        <f t="shared" si="20"/>
        <v/>
      </c>
      <c r="G227" s="48"/>
      <c r="H227" s="127"/>
      <c r="M227" s="121"/>
      <c r="N227" s="121"/>
      <c r="O227" s="121"/>
      <c r="P227" s="121"/>
    </row>
    <row r="228" spans="1:16" ht="20.149999999999999" hidden="1" customHeight="1">
      <c r="A228" s="129" t="str">
        <f>IF(LEN(I11)&gt;0,MAX(A$63:$A227)+1,"")</f>
        <v/>
      </c>
      <c r="B228" s="125" t="str">
        <f t="shared" si="19"/>
        <v/>
      </c>
      <c r="C228" s="48"/>
      <c r="D228" s="127"/>
      <c r="E228" s="129" t="str">
        <f>IF(LEN(I36)&gt;0,MAX($E$63:E227)+1,"")</f>
        <v/>
      </c>
      <c r="F228" s="125" t="str">
        <f t="shared" si="20"/>
        <v/>
      </c>
      <c r="G228" s="48"/>
      <c r="H228" s="127"/>
      <c r="M228" s="121"/>
      <c r="N228" s="121"/>
      <c r="O228" s="121"/>
      <c r="P228" s="121"/>
    </row>
    <row r="229" spans="1:16" ht="20.149999999999999" hidden="1" customHeight="1">
      <c r="A229" s="129" t="str">
        <f>IF(LEN(I12)&gt;0,MAX(A$63:$A228)+1,"")</f>
        <v/>
      </c>
      <c r="B229" s="125" t="str">
        <f t="shared" si="19"/>
        <v/>
      </c>
      <c r="C229" s="48"/>
      <c r="D229" s="127"/>
      <c r="E229" s="129" t="str">
        <f>IF(LEN(I37)&gt;0,MAX($E$63:E228)+1,"")</f>
        <v/>
      </c>
      <c r="F229" s="125" t="str">
        <f t="shared" si="20"/>
        <v/>
      </c>
      <c r="G229" s="48"/>
      <c r="H229" s="127"/>
      <c r="M229" s="121"/>
      <c r="N229" s="121"/>
      <c r="O229" s="121"/>
      <c r="P229" s="121"/>
    </row>
    <row r="230" spans="1:16" ht="20.149999999999999" hidden="1" customHeight="1">
      <c r="A230" s="129" t="str">
        <f>IF(LEN(I13)&gt;0,MAX(A$63:$A229)+1,"")</f>
        <v/>
      </c>
      <c r="B230" s="125" t="str">
        <f t="shared" si="19"/>
        <v/>
      </c>
      <c r="C230" s="48"/>
      <c r="D230" s="127"/>
      <c r="E230" s="129" t="str">
        <f>IF(LEN(I38)&gt;0,MAX($E$63:E229)+1,"")</f>
        <v/>
      </c>
      <c r="F230" s="125" t="str">
        <f t="shared" si="20"/>
        <v/>
      </c>
      <c r="G230" s="48"/>
      <c r="H230" s="127"/>
      <c r="M230" s="121"/>
      <c r="N230" s="121"/>
      <c r="O230" s="121"/>
      <c r="P230" s="121"/>
    </row>
    <row r="231" spans="1:16" ht="20.149999999999999" hidden="1" customHeight="1">
      <c r="A231" s="129" t="str">
        <f>IF(LEN(I14)&gt;0,MAX(A$63:$A230)+1,"")</f>
        <v/>
      </c>
      <c r="B231" s="125" t="str">
        <f t="shared" si="19"/>
        <v/>
      </c>
      <c r="C231" s="48"/>
      <c r="D231" s="127"/>
      <c r="E231" s="129" t="str">
        <f>IF(LEN(I39)&gt;0,MAX($E$63:E230)+1,"")</f>
        <v/>
      </c>
      <c r="F231" s="125" t="str">
        <f t="shared" si="20"/>
        <v/>
      </c>
      <c r="G231" s="48"/>
      <c r="H231" s="127"/>
      <c r="M231" s="121"/>
      <c r="N231" s="121"/>
      <c r="O231" s="121"/>
      <c r="P231" s="121"/>
    </row>
    <row r="232" spans="1:16" ht="20.149999999999999" hidden="1" customHeight="1">
      <c r="A232" s="129" t="str">
        <f>IF(LEN(I15)&gt;0,MAX(A$63:$A231)+1,"")</f>
        <v/>
      </c>
      <c r="B232" s="125" t="str">
        <f t="shared" si="19"/>
        <v/>
      </c>
      <c r="C232" s="48"/>
      <c r="D232" s="127"/>
      <c r="E232" s="129" t="str">
        <f>IF(LEN(I40)&gt;0,MAX($E$63:E231)+1,"")</f>
        <v/>
      </c>
      <c r="F232" s="125" t="str">
        <f t="shared" si="20"/>
        <v/>
      </c>
      <c r="G232" s="48"/>
      <c r="H232" s="127"/>
      <c r="M232" s="121"/>
      <c r="N232" s="121"/>
      <c r="O232" s="121"/>
      <c r="P232" s="121"/>
    </row>
    <row r="233" spans="1:16" ht="20.149999999999999" hidden="1" customHeight="1">
      <c r="A233" s="129" t="str">
        <f>IF(LEN(I16)&gt;0,MAX(A$63:$A232)+1,"")</f>
        <v/>
      </c>
      <c r="B233" s="125" t="str">
        <f t="shared" si="19"/>
        <v/>
      </c>
      <c r="C233" s="48"/>
      <c r="D233" s="127"/>
      <c r="E233" s="129" t="str">
        <f>IF(LEN(I41)&gt;0,MAX($E$63:E232)+1,"")</f>
        <v/>
      </c>
      <c r="F233" s="125" t="str">
        <f t="shared" si="20"/>
        <v/>
      </c>
      <c r="G233" s="48"/>
      <c r="H233" s="127"/>
      <c r="M233" s="121"/>
      <c r="N233" s="121"/>
      <c r="O233" s="121"/>
      <c r="P233" s="121"/>
    </row>
    <row r="234" spans="1:16" ht="20.149999999999999" hidden="1" customHeight="1">
      <c r="A234" s="129" t="str">
        <f>IF(LEN(A15)&gt;0,MAX(A$63:$A233)+1,"")</f>
        <v/>
      </c>
      <c r="B234" s="125" t="str">
        <f>IF(LEN(A15)&gt;0,A15,"")</f>
        <v/>
      </c>
      <c r="C234" s="48"/>
      <c r="D234" s="127"/>
      <c r="E234" s="129" t="str">
        <f>IF(LEN(I42)&gt;0,MAX($E$63:E233)+1,"")</f>
        <v/>
      </c>
      <c r="F234" s="125" t="str">
        <f t="shared" si="20"/>
        <v/>
      </c>
      <c r="G234" s="48"/>
      <c r="H234" s="127"/>
      <c r="M234" s="121"/>
      <c r="N234" s="121"/>
      <c r="O234" s="121"/>
      <c r="P234" s="121"/>
    </row>
    <row r="235" spans="1:16" ht="20.149999999999999" hidden="1" customHeight="1">
      <c r="A235" s="129" t="str">
        <f>IF(LEN(I18)&gt;0,MAX(A$63:$A234)+1,"")</f>
        <v/>
      </c>
      <c r="B235" s="125" t="str">
        <f t="shared" si="19"/>
        <v/>
      </c>
      <c r="C235" s="48"/>
      <c r="D235" s="127"/>
      <c r="E235" s="129" t="str">
        <f>IF(LEN(I43)&gt;0,MAX($E$63:E234)+1,"")</f>
        <v/>
      </c>
      <c r="F235" s="125" t="str">
        <f t="shared" si="20"/>
        <v/>
      </c>
      <c r="G235" s="48"/>
      <c r="H235" s="127"/>
      <c r="M235" s="121"/>
      <c r="N235" s="121"/>
      <c r="O235" s="121"/>
      <c r="P235" s="121"/>
    </row>
    <row r="236" spans="1:16" ht="20.149999999999999" hidden="1" customHeight="1">
      <c r="A236" s="129" t="str">
        <f>IF(LEN(I19)&gt;0,MAX(A$63:$A235)+1,"")</f>
        <v/>
      </c>
      <c r="B236" s="125" t="str">
        <f t="shared" si="19"/>
        <v/>
      </c>
      <c r="C236" s="48"/>
      <c r="D236" s="127"/>
      <c r="E236" s="129" t="str">
        <f>IF(LEN(I44)&gt;0,MAX($E$63:E235)+1,"")</f>
        <v/>
      </c>
      <c r="F236" s="125" t="str">
        <f t="shared" si="20"/>
        <v/>
      </c>
      <c r="G236" s="48"/>
      <c r="H236" s="127"/>
      <c r="M236" s="121"/>
      <c r="N236" s="121"/>
      <c r="O236" s="121"/>
      <c r="P236" s="121"/>
    </row>
    <row r="237" spans="1:16" ht="20.149999999999999" hidden="1" customHeight="1">
      <c r="A237" s="129" t="str">
        <f>IF(LEN(I20)&gt;0,MAX(A$63:$A236)+1,"")</f>
        <v/>
      </c>
      <c r="B237" s="125" t="str">
        <f t="shared" si="19"/>
        <v/>
      </c>
      <c r="C237" s="48"/>
      <c r="D237" s="127"/>
      <c r="E237" s="129" t="str">
        <f>IF(LEN(I45)&gt;0,MAX($E$63:E236)+1,"")</f>
        <v/>
      </c>
      <c r="F237" s="125" t="str">
        <f t="shared" si="20"/>
        <v/>
      </c>
      <c r="G237" s="48"/>
      <c r="H237" s="127"/>
      <c r="M237" s="121"/>
      <c r="N237" s="121"/>
      <c r="O237" s="121"/>
      <c r="P237" s="121"/>
    </row>
    <row r="238" spans="1:16" s="120" customFormat="1" ht="20.149999999999999" hidden="1" customHeight="1">
      <c r="A238" s="129" t="str">
        <f>IF(LEN(I21)&gt;0,MAX(A$63:$A237)+1,"")</f>
        <v/>
      </c>
      <c r="B238" s="125" t="str">
        <f t="shared" si="19"/>
        <v/>
      </c>
      <c r="C238" s="48"/>
      <c r="D238" s="124"/>
      <c r="E238" s="129" t="str">
        <f>IF(LEN(I46)&gt;0,MAX($E$63:E237)+1,"")</f>
        <v/>
      </c>
      <c r="F238" s="125" t="str">
        <f t="shared" si="20"/>
        <v/>
      </c>
      <c r="G238" s="48"/>
      <c r="H238" s="124"/>
      <c r="I238" s="121"/>
      <c r="J238" s="130"/>
      <c r="K238" s="130"/>
      <c r="L238" s="130"/>
      <c r="M238" s="130"/>
      <c r="N238" s="130"/>
      <c r="O238" s="130"/>
      <c r="P238" s="130"/>
    </row>
    <row r="239" spans="1:16" ht="20.149999999999999" hidden="1" customHeight="1">
      <c r="A239" s="129" t="str">
        <f>IF(LEN(I22)&gt;0,MAX(A$63:$A238)+1,"")</f>
        <v/>
      </c>
      <c r="B239" s="125" t="str">
        <f t="shared" si="19"/>
        <v/>
      </c>
      <c r="C239" s="48"/>
      <c r="D239" s="124"/>
      <c r="E239" s="129" t="str">
        <f>IF(LEN(I47)&gt;0,MAX($E$63:E238)+1,"")</f>
        <v/>
      </c>
      <c r="F239" s="125" t="str">
        <f t="shared" si="20"/>
        <v/>
      </c>
      <c r="G239" s="48"/>
      <c r="H239" s="124"/>
      <c r="M239" s="121"/>
      <c r="N239" s="121"/>
      <c r="O239" s="121"/>
      <c r="P239" s="121"/>
    </row>
    <row r="240" spans="1:16" ht="20.149999999999999" hidden="1" customHeight="1">
      <c r="A240" s="129" t="str">
        <f>IF(LEN(I23)&gt;0,MAX(A$63:$A239)+1,"")</f>
        <v/>
      </c>
      <c r="B240" s="125" t="str">
        <f t="shared" si="19"/>
        <v/>
      </c>
      <c r="C240" s="48"/>
      <c r="D240" s="124"/>
      <c r="E240" s="129" t="str">
        <f>IF(LEN(I48)&gt;0,MAX($E$63:E239)+1,"")</f>
        <v/>
      </c>
      <c r="F240" s="125" t="str">
        <f t="shared" si="20"/>
        <v/>
      </c>
      <c r="G240" s="48"/>
      <c r="H240" s="124"/>
      <c r="M240" s="121"/>
      <c r="N240" s="121"/>
      <c r="O240" s="121"/>
      <c r="P240" s="121"/>
    </row>
    <row r="241" spans="1:16" s="120" customFormat="1" ht="20.149999999999999" hidden="1" customHeight="1">
      <c r="A241" s="129" t="str">
        <f>IF(LEN(I24)&gt;0,MAX(A$63:$A240)+1,"")</f>
        <v/>
      </c>
      <c r="B241" s="125" t="str">
        <f t="shared" si="19"/>
        <v/>
      </c>
      <c r="C241" s="48"/>
      <c r="D241" s="124"/>
      <c r="E241" s="129" t="str">
        <f>IF(LEN(I49)&gt;0,MAX($E$63:E240)+1,"")</f>
        <v/>
      </c>
      <c r="F241" s="125" t="str">
        <f t="shared" si="20"/>
        <v/>
      </c>
      <c r="G241" s="48"/>
      <c r="H241" s="124"/>
      <c r="I241" s="121"/>
      <c r="J241" s="130"/>
      <c r="K241" s="130"/>
      <c r="L241" s="130"/>
      <c r="M241" s="130"/>
      <c r="N241" s="130"/>
      <c r="O241" s="130"/>
      <c r="P241" s="130"/>
    </row>
    <row r="242" spans="1:16" s="120" customFormat="1" ht="20.149999999999999" hidden="1" customHeight="1">
      <c r="A242" s="129" t="str">
        <f>IF(LEN(I25)&gt;0,MAX(A$63:$A241)+1,"")</f>
        <v/>
      </c>
      <c r="B242" s="125" t="str">
        <f t="shared" si="19"/>
        <v/>
      </c>
      <c r="C242" s="48"/>
      <c r="D242" s="124"/>
      <c r="E242" s="129" t="str">
        <f>IF(LEN(I50)&gt;0,MAX($E$63:E241)+1,"")</f>
        <v/>
      </c>
      <c r="F242" s="125" t="str">
        <f t="shared" si="20"/>
        <v/>
      </c>
      <c r="G242" s="48"/>
      <c r="H242" s="124"/>
      <c r="I242" s="121"/>
      <c r="J242" s="130"/>
      <c r="K242" s="130"/>
      <c r="L242" s="130"/>
      <c r="M242" s="130"/>
      <c r="N242" s="130"/>
      <c r="O242" s="130"/>
      <c r="P242" s="130"/>
    </row>
    <row r="243" spans="1:16" ht="20.149999999999999" hidden="1" customHeight="1">
      <c r="A243" s="129" t="str">
        <f>IF(LEN(J6)&gt;0,MAX(A$63:$A242)+1,"")</f>
        <v/>
      </c>
      <c r="B243" s="125" t="str">
        <f t="shared" ref="B243:B262" si="21">IF(LEN(J6)&gt;0,J6,"")</f>
        <v/>
      </c>
      <c r="C243" s="48" t="b">
        <f>IF(SUM(A243:A262)&gt;0,MIN(A243:A262))</f>
        <v>0</v>
      </c>
      <c r="D243" s="127" t="b">
        <f>IF(SUM(A243:A262)&gt;0,J5)</f>
        <v>0</v>
      </c>
      <c r="E243" s="129" t="str">
        <f>IF(LEN(J31)&gt;0,MAX($E$63:E242)+1,"")</f>
        <v/>
      </c>
      <c r="F243" s="125" t="str">
        <f>IF(LEN(J31)&gt;0,J31,"")</f>
        <v/>
      </c>
      <c r="G243" s="48" t="b">
        <f>IF(SUM(E243:E262)&gt;0,MIN(E243:E262))</f>
        <v>0</v>
      </c>
      <c r="H243" s="127" t="b">
        <f>IF(SUM(E243:E262)&gt;0,J30)</f>
        <v>0</v>
      </c>
      <c r="M243" s="121"/>
      <c r="N243" s="121"/>
      <c r="O243" s="121"/>
      <c r="P243" s="121"/>
    </row>
    <row r="244" spans="1:16" ht="20.149999999999999" hidden="1" customHeight="1">
      <c r="A244" s="129" t="str">
        <f>IF(LEN(J7)&gt;0,MAX(A$63:$A243)+1,"")</f>
        <v/>
      </c>
      <c r="B244" s="125" t="str">
        <f t="shared" si="21"/>
        <v/>
      </c>
      <c r="C244" s="48"/>
      <c r="D244" s="127"/>
      <c r="E244" s="129" t="str">
        <f>IF(LEN(J32)&gt;0,MAX($E$63:E243)+1,"")</f>
        <v/>
      </c>
      <c r="F244" s="125" t="str">
        <f t="shared" ref="F244:F261" si="22">IF(LEN(J32)&gt;0,J32,"")</f>
        <v/>
      </c>
      <c r="G244" s="48"/>
      <c r="H244" s="127"/>
      <c r="M244" s="121"/>
      <c r="N244" s="121"/>
      <c r="O244" s="121"/>
      <c r="P244" s="121"/>
    </row>
    <row r="245" spans="1:16" ht="20.149999999999999" hidden="1" customHeight="1">
      <c r="A245" s="129" t="str">
        <f>IF(LEN(J8)&gt;0,MAX(A$63:$A244)+1,"")</f>
        <v/>
      </c>
      <c r="B245" s="125" t="str">
        <f t="shared" si="21"/>
        <v/>
      </c>
      <c r="C245" s="48"/>
      <c r="D245" s="127"/>
      <c r="E245" s="129" t="str">
        <f>IF(LEN(J33)&gt;0,MAX($E$63:E244)+1,"")</f>
        <v/>
      </c>
      <c r="F245" s="125" t="str">
        <f t="shared" si="22"/>
        <v/>
      </c>
      <c r="G245" s="48"/>
      <c r="H245" s="127"/>
      <c r="M245" s="121"/>
      <c r="N245" s="121"/>
      <c r="O245" s="121"/>
      <c r="P245" s="121"/>
    </row>
    <row r="246" spans="1:16" ht="20.149999999999999" hidden="1" customHeight="1">
      <c r="A246" s="129" t="str">
        <f>IF(LEN(J9)&gt;0,MAX(A$63:$A245)+1,"")</f>
        <v/>
      </c>
      <c r="B246" s="125" t="str">
        <f t="shared" si="21"/>
        <v/>
      </c>
      <c r="C246" s="48"/>
      <c r="D246" s="127"/>
      <c r="E246" s="129" t="str">
        <f>IF(LEN(J34)&gt;0,MAX($E$63:E245)+1,"")</f>
        <v/>
      </c>
      <c r="F246" s="125" t="str">
        <f t="shared" si="22"/>
        <v/>
      </c>
      <c r="G246" s="48"/>
      <c r="H246" s="127"/>
      <c r="M246" s="121"/>
      <c r="N246" s="121"/>
      <c r="O246" s="121"/>
      <c r="P246" s="121"/>
    </row>
    <row r="247" spans="1:16" ht="20.149999999999999" hidden="1" customHeight="1">
      <c r="A247" s="129" t="str">
        <f>IF(LEN(J10)&gt;0,MAX(A$63:$A246)+1,"")</f>
        <v/>
      </c>
      <c r="B247" s="125" t="str">
        <f t="shared" si="21"/>
        <v/>
      </c>
      <c r="C247" s="48"/>
      <c r="D247" s="127"/>
      <c r="E247" s="129" t="str">
        <f>IF(LEN(J35)&gt;0,MAX($E$63:E246)+1,"")</f>
        <v/>
      </c>
      <c r="F247" s="125" t="str">
        <f t="shared" si="22"/>
        <v/>
      </c>
      <c r="G247" s="48"/>
      <c r="H247" s="127"/>
      <c r="M247" s="121"/>
      <c r="N247" s="121"/>
      <c r="O247" s="121"/>
      <c r="P247" s="121"/>
    </row>
    <row r="248" spans="1:16" ht="20.149999999999999" hidden="1" customHeight="1">
      <c r="A248" s="129" t="str">
        <f>IF(LEN(J11)&gt;0,MAX(A$63:$A247)+1,"")</f>
        <v/>
      </c>
      <c r="B248" s="125" t="str">
        <f t="shared" si="21"/>
        <v/>
      </c>
      <c r="C248" s="48"/>
      <c r="D248" s="127"/>
      <c r="E248" s="129" t="str">
        <f>IF(LEN(J36)&gt;0,MAX($E$63:E247)+1,"")</f>
        <v/>
      </c>
      <c r="F248" s="125" t="str">
        <f t="shared" si="22"/>
        <v/>
      </c>
      <c r="G248" s="48"/>
      <c r="H248" s="127"/>
      <c r="M248" s="121"/>
      <c r="N248" s="121"/>
      <c r="O248" s="121"/>
      <c r="P248" s="121"/>
    </row>
    <row r="249" spans="1:16" ht="20.149999999999999" hidden="1" customHeight="1">
      <c r="A249" s="129" t="str">
        <f>IF(LEN(J12)&gt;0,MAX(A$63:$A248)+1,"")</f>
        <v/>
      </c>
      <c r="B249" s="125" t="str">
        <f t="shared" si="21"/>
        <v/>
      </c>
      <c r="C249" s="48"/>
      <c r="D249" s="127"/>
      <c r="E249" s="129" t="str">
        <f>IF(LEN(J37)&gt;0,MAX($E$63:E248)+1,"")</f>
        <v/>
      </c>
      <c r="F249" s="125" t="str">
        <f t="shared" si="22"/>
        <v/>
      </c>
      <c r="G249" s="48"/>
      <c r="H249" s="127"/>
      <c r="M249" s="121"/>
      <c r="N249" s="121"/>
      <c r="O249" s="121"/>
      <c r="P249" s="121"/>
    </row>
    <row r="250" spans="1:16" ht="20.149999999999999" hidden="1" customHeight="1">
      <c r="A250" s="129" t="str">
        <f>IF(LEN(J13)&gt;0,MAX(A$63:$A249)+1,"")</f>
        <v/>
      </c>
      <c r="B250" s="125" t="str">
        <f t="shared" si="21"/>
        <v/>
      </c>
      <c r="C250" s="48"/>
      <c r="D250" s="127"/>
      <c r="E250" s="129" t="str">
        <f>IF(LEN(J38)&gt;0,MAX($E$63:E249)+1,"")</f>
        <v/>
      </c>
      <c r="F250" s="125" t="str">
        <f t="shared" si="22"/>
        <v/>
      </c>
      <c r="G250" s="48"/>
      <c r="H250" s="127"/>
      <c r="M250" s="121"/>
      <c r="N250" s="121"/>
      <c r="O250" s="121"/>
      <c r="P250" s="121"/>
    </row>
    <row r="251" spans="1:16" ht="20.149999999999999" hidden="1" customHeight="1">
      <c r="A251" s="129" t="str">
        <f>IF(LEN(J14)&gt;0,MAX(A$63:$A250)+1,"")</f>
        <v/>
      </c>
      <c r="B251" s="125" t="str">
        <f t="shared" si="21"/>
        <v/>
      </c>
      <c r="C251" s="48"/>
      <c r="D251" s="127"/>
      <c r="E251" s="129" t="str">
        <f>IF(LEN(J39)&gt;0,MAX($E$63:E250)+1,"")</f>
        <v/>
      </c>
      <c r="F251" s="125" t="str">
        <f t="shared" si="22"/>
        <v/>
      </c>
      <c r="G251" s="48"/>
      <c r="H251" s="127"/>
      <c r="M251" s="121"/>
      <c r="N251" s="121"/>
      <c r="O251" s="121"/>
      <c r="P251" s="121"/>
    </row>
    <row r="252" spans="1:16" ht="20.149999999999999" hidden="1" customHeight="1">
      <c r="A252" s="129" t="str">
        <f>IF(LEN(J15)&gt;0,MAX(A$63:$A251)+1,"")</f>
        <v/>
      </c>
      <c r="B252" s="125" t="str">
        <f t="shared" si="21"/>
        <v/>
      </c>
      <c r="C252" s="48"/>
      <c r="D252" s="127"/>
      <c r="E252" s="129" t="str">
        <f>IF(LEN(J40)&gt;0,MAX($E$63:E251)+1,"")</f>
        <v/>
      </c>
      <c r="F252" s="125" t="str">
        <f t="shared" si="22"/>
        <v/>
      </c>
      <c r="G252" s="48"/>
      <c r="H252" s="127"/>
      <c r="M252" s="121"/>
      <c r="N252" s="121"/>
      <c r="O252" s="121"/>
      <c r="P252" s="121"/>
    </row>
    <row r="253" spans="1:16" ht="20.149999999999999" hidden="1" customHeight="1">
      <c r="A253" s="129" t="str">
        <f>IF(LEN(J16)&gt;0,MAX(A$63:$A252)+1,"")</f>
        <v/>
      </c>
      <c r="B253" s="125" t="str">
        <f t="shared" si="21"/>
        <v/>
      </c>
      <c r="C253" s="48"/>
      <c r="D253" s="127"/>
      <c r="E253" s="129" t="str">
        <f>IF(LEN(J41)&gt;0,MAX($E$63:E252)+1,"")</f>
        <v/>
      </c>
      <c r="F253" s="125" t="str">
        <f t="shared" si="22"/>
        <v/>
      </c>
      <c r="G253" s="48"/>
      <c r="H253" s="127"/>
      <c r="M253" s="121"/>
      <c r="N253" s="121"/>
      <c r="O253" s="121"/>
      <c r="P253" s="121"/>
    </row>
    <row r="254" spans="1:16" ht="20.149999999999999" hidden="1" customHeight="1">
      <c r="A254" s="129" t="str">
        <f>IF(LEN(J17)&gt;0,MAX(A$63:$A253)+1,"")</f>
        <v/>
      </c>
      <c r="B254" s="125" t="str">
        <f t="shared" si="21"/>
        <v/>
      </c>
      <c r="C254" s="48"/>
      <c r="D254" s="127"/>
      <c r="E254" s="129" t="str">
        <f>IF(LEN(J42)&gt;0,MAX($E$63:E253)+1,"")</f>
        <v/>
      </c>
      <c r="F254" s="125" t="str">
        <f t="shared" si="22"/>
        <v/>
      </c>
      <c r="G254" s="48"/>
      <c r="H254" s="127"/>
      <c r="M254" s="121"/>
      <c r="N254" s="121"/>
      <c r="O254" s="121"/>
      <c r="P254" s="121"/>
    </row>
    <row r="255" spans="1:16" ht="20.149999999999999" hidden="1" customHeight="1">
      <c r="A255" s="129" t="str">
        <f>IF(LEN(J18)&gt;0,MAX(A$63:$A254)+1,"")</f>
        <v/>
      </c>
      <c r="B255" s="125" t="str">
        <f t="shared" si="21"/>
        <v/>
      </c>
      <c r="C255" s="48"/>
      <c r="D255" s="127"/>
      <c r="E255" s="129" t="str">
        <f>IF(LEN(J43)&gt;0,MAX($E$63:E254)+1,"")</f>
        <v/>
      </c>
      <c r="F255" s="125" t="str">
        <f t="shared" si="22"/>
        <v/>
      </c>
      <c r="G255" s="48"/>
      <c r="H255" s="127"/>
      <c r="M255" s="121"/>
      <c r="N255" s="121"/>
      <c r="O255" s="121"/>
      <c r="P255" s="121"/>
    </row>
    <row r="256" spans="1:16" ht="20.149999999999999" hidden="1" customHeight="1">
      <c r="A256" s="129" t="str">
        <f>IF(LEN(J19)&gt;0,MAX(A$63:$A255)+1,"")</f>
        <v/>
      </c>
      <c r="B256" s="125" t="str">
        <f t="shared" si="21"/>
        <v/>
      </c>
      <c r="C256" s="48"/>
      <c r="D256" s="127"/>
      <c r="E256" s="129" t="str">
        <f>IF(LEN(J44)&gt;0,MAX($E$63:E255)+1,"")</f>
        <v/>
      </c>
      <c r="F256" s="125" t="str">
        <f t="shared" si="22"/>
        <v/>
      </c>
      <c r="G256" s="48"/>
      <c r="H256" s="127"/>
      <c r="M256" s="121"/>
      <c r="N256" s="121"/>
      <c r="O256" s="121"/>
      <c r="P256" s="121"/>
    </row>
    <row r="257" spans="1:16" ht="20.149999999999999" hidden="1" customHeight="1">
      <c r="A257" s="129" t="str">
        <f>IF(LEN(J20)&gt;0,MAX(A$63:$A256)+1,"")</f>
        <v/>
      </c>
      <c r="B257" s="125" t="str">
        <f t="shared" si="21"/>
        <v/>
      </c>
      <c r="C257" s="48"/>
      <c r="D257" s="127"/>
      <c r="E257" s="129" t="str">
        <f>IF(LEN(J45)&gt;0,MAX($E$63:E256)+1,"")</f>
        <v/>
      </c>
      <c r="F257" s="125" t="str">
        <f t="shared" si="22"/>
        <v/>
      </c>
      <c r="G257" s="48"/>
      <c r="H257" s="127"/>
      <c r="M257" s="121"/>
      <c r="N257" s="121"/>
      <c r="O257" s="121"/>
      <c r="P257" s="121"/>
    </row>
    <row r="258" spans="1:16" ht="20.149999999999999" hidden="1" customHeight="1">
      <c r="A258" s="129" t="str">
        <f>IF(LEN(J21)&gt;0,MAX(A$63:$A257)+1,"")</f>
        <v/>
      </c>
      <c r="B258" s="125" t="str">
        <f t="shared" si="21"/>
        <v/>
      </c>
      <c r="C258" s="48"/>
      <c r="D258" s="124"/>
      <c r="E258" s="129" t="str">
        <f>IF(LEN(J46)&gt;0,MAX($E$63:E257)+1,"")</f>
        <v/>
      </c>
      <c r="F258" s="125" t="str">
        <f t="shared" si="22"/>
        <v/>
      </c>
      <c r="G258" s="48"/>
      <c r="H258" s="124"/>
      <c r="M258" s="121"/>
      <c r="N258" s="121"/>
      <c r="O258" s="121"/>
      <c r="P258" s="121"/>
    </row>
    <row r="259" spans="1:16" ht="20.149999999999999" hidden="1" customHeight="1">
      <c r="A259" s="129" t="str">
        <f>IF(LEN(J22)&gt;0,MAX(A$63:$A258)+1,"")</f>
        <v/>
      </c>
      <c r="B259" s="125" t="str">
        <f t="shared" si="21"/>
        <v/>
      </c>
      <c r="C259" s="48"/>
      <c r="D259" s="124"/>
      <c r="E259" s="129" t="str">
        <f>IF(LEN(J47)&gt;0,MAX($E$63:E258)+1,"")</f>
        <v/>
      </c>
      <c r="F259" s="125" t="str">
        <f t="shared" si="22"/>
        <v/>
      </c>
      <c r="G259" s="48"/>
      <c r="H259" s="124"/>
      <c r="M259" s="121"/>
      <c r="N259" s="121"/>
      <c r="O259" s="121"/>
      <c r="P259" s="121"/>
    </row>
    <row r="260" spans="1:16" s="120" customFormat="1" ht="20.149999999999999" hidden="1" customHeight="1">
      <c r="A260" s="129" t="str">
        <f>IF(LEN(J23)&gt;0,MAX(A$63:$A259)+1,"")</f>
        <v/>
      </c>
      <c r="B260" s="125" t="str">
        <f t="shared" si="21"/>
        <v/>
      </c>
      <c r="C260" s="48"/>
      <c r="D260" s="124"/>
      <c r="E260" s="129" t="str">
        <f>IF(LEN(J48)&gt;0,MAX($E$63:E259)+1,"")</f>
        <v/>
      </c>
      <c r="F260" s="125" t="str">
        <f t="shared" si="22"/>
        <v/>
      </c>
      <c r="G260" s="48"/>
      <c r="H260" s="124"/>
      <c r="I260" s="121"/>
      <c r="J260" s="130"/>
      <c r="K260" s="130"/>
      <c r="L260" s="130"/>
      <c r="M260" s="130"/>
      <c r="N260" s="130"/>
      <c r="O260" s="130"/>
      <c r="P260" s="130"/>
    </row>
    <row r="261" spans="1:16" s="120" customFormat="1" ht="20.149999999999999" hidden="1" customHeight="1">
      <c r="A261" s="129" t="str">
        <f>IF(LEN(J24)&gt;0,MAX(A$63:$A260)+1,"")</f>
        <v/>
      </c>
      <c r="B261" s="125" t="str">
        <f t="shared" si="21"/>
        <v/>
      </c>
      <c r="C261" s="48"/>
      <c r="D261" s="124"/>
      <c r="E261" s="129" t="str">
        <f>IF(LEN(J49)&gt;0,MAX($E$63:E260)+1,"")</f>
        <v/>
      </c>
      <c r="F261" s="125" t="str">
        <f t="shared" si="22"/>
        <v/>
      </c>
      <c r="G261" s="48"/>
      <c r="H261" s="124"/>
      <c r="I261" s="121"/>
      <c r="J261" s="130"/>
      <c r="K261" s="130"/>
      <c r="L261" s="130"/>
      <c r="M261" s="130"/>
      <c r="N261" s="130"/>
      <c r="O261" s="130"/>
      <c r="P261" s="130"/>
    </row>
    <row r="262" spans="1:16" ht="20.149999999999999" hidden="1" customHeight="1">
      <c r="A262" s="129" t="str">
        <f>IF(LEN(J25)&gt;0,MAX(A$63:$A261)+1,"")</f>
        <v/>
      </c>
      <c r="B262" s="125" t="str">
        <f t="shared" si="21"/>
        <v/>
      </c>
      <c r="C262" s="48"/>
      <c r="D262" s="124"/>
      <c r="E262" s="129" t="str">
        <f>IF(LEN(J50)&gt;0,MAX($E$63:E261)+1,"")</f>
        <v/>
      </c>
      <c r="F262" s="125" t="str">
        <f t="shared" ref="F262" si="23">IF(LEN(J50)&gt;0,J50,"")</f>
        <v/>
      </c>
      <c r="G262" s="48"/>
      <c r="H262" s="124"/>
      <c r="M262" s="121"/>
      <c r="N262" s="121"/>
      <c r="O262" s="121"/>
      <c r="P262" s="121"/>
    </row>
    <row r="263" spans="1:16" ht="20.149999999999999" hidden="1" customHeight="1">
      <c r="A263" s="129" t="str">
        <f>IF(LEN(K6)&gt;0,MAX(A$63:$A262)+1,"")</f>
        <v/>
      </c>
      <c r="B263" s="125" t="str">
        <f t="shared" ref="B263:B282" si="24">IF(LEN(K6)&gt;0,K6,"")</f>
        <v/>
      </c>
      <c r="C263" s="48" t="b">
        <f>IF(SUM(A263:A282)&gt;0,MIN(A263:A282))</f>
        <v>0</v>
      </c>
      <c r="D263" s="127" t="b">
        <f>IF(SUM(A263:A282)&gt;0,K5)</f>
        <v>0</v>
      </c>
      <c r="E263" s="129" t="str">
        <f>IF(LEN(K31)&gt;0,MAX($E$63:E262)+1,"")</f>
        <v/>
      </c>
      <c r="F263" s="125" t="str">
        <f>IF(LEN(K31)&gt;0,K31,"")</f>
        <v/>
      </c>
      <c r="G263" s="48" t="b">
        <f>IF(SUM(E263:E282)&gt;0,MIN(E263:E282))</f>
        <v>0</v>
      </c>
      <c r="H263" s="127" t="b">
        <f>IF(SUM(E263:E282)&gt;0,K30)</f>
        <v>0</v>
      </c>
      <c r="M263" s="121"/>
      <c r="N263" s="121"/>
      <c r="O263" s="121"/>
      <c r="P263" s="121"/>
    </row>
    <row r="264" spans="1:16" ht="20.149999999999999" hidden="1" customHeight="1">
      <c r="A264" s="129" t="str">
        <f>IF(LEN(K7)&gt;0,MAX(A$63:$A263)+1,"")</f>
        <v/>
      </c>
      <c r="B264" s="125" t="str">
        <f t="shared" si="24"/>
        <v/>
      </c>
      <c r="C264" s="48"/>
      <c r="D264" s="127"/>
      <c r="E264" s="129" t="str">
        <f>IF(LEN(K32)&gt;0,MAX($E$63:E263)+1,"")</f>
        <v/>
      </c>
      <c r="F264" s="125" t="str">
        <f t="shared" ref="F264:F282" si="25">IF(LEN(K32)&gt;0,K32,"")</f>
        <v/>
      </c>
      <c r="G264" s="48"/>
      <c r="H264" s="127"/>
      <c r="M264" s="121"/>
      <c r="N264" s="121"/>
      <c r="O264" s="121"/>
      <c r="P264" s="121"/>
    </row>
    <row r="265" spans="1:16" ht="20.149999999999999" hidden="1" customHeight="1">
      <c r="A265" s="129" t="str">
        <f>IF(LEN(K8)&gt;0,MAX(A$63:$A264)+1,"")</f>
        <v/>
      </c>
      <c r="B265" s="125" t="str">
        <f t="shared" si="24"/>
        <v/>
      </c>
      <c r="C265" s="48"/>
      <c r="D265" s="127"/>
      <c r="E265" s="129" t="str">
        <f>IF(LEN(K33)&gt;0,MAX($E$63:E264)+1,"")</f>
        <v/>
      </c>
      <c r="F265" s="125" t="str">
        <f t="shared" si="25"/>
        <v/>
      </c>
      <c r="G265" s="48"/>
      <c r="H265" s="127"/>
      <c r="M265" s="121"/>
      <c r="N265" s="121"/>
      <c r="O265" s="121"/>
      <c r="P265" s="121"/>
    </row>
    <row r="266" spans="1:16" ht="20.149999999999999" hidden="1" customHeight="1">
      <c r="A266" s="129" t="str">
        <f>IF(LEN(K9)&gt;0,MAX(A$63:$A265)+1,"")</f>
        <v/>
      </c>
      <c r="B266" s="125" t="str">
        <f t="shared" si="24"/>
        <v/>
      </c>
      <c r="C266" s="48"/>
      <c r="D266" s="127"/>
      <c r="E266" s="129" t="str">
        <f>IF(LEN(K34)&gt;0,MAX($E$63:E265)+1,"")</f>
        <v/>
      </c>
      <c r="F266" s="125" t="str">
        <f t="shared" si="25"/>
        <v/>
      </c>
      <c r="G266" s="48"/>
      <c r="H266" s="127"/>
      <c r="M266" s="121"/>
      <c r="N266" s="121"/>
      <c r="O266" s="121"/>
      <c r="P266" s="121"/>
    </row>
    <row r="267" spans="1:16" ht="20.149999999999999" hidden="1" customHeight="1">
      <c r="A267" s="129" t="str">
        <f>IF(LEN(K10)&gt;0,MAX(A$63:$A266)+1,"")</f>
        <v/>
      </c>
      <c r="B267" s="125" t="str">
        <f t="shared" si="24"/>
        <v/>
      </c>
      <c r="C267" s="48"/>
      <c r="D267" s="127"/>
      <c r="E267" s="129" t="str">
        <f>IF(LEN(K35)&gt;0,MAX($E$63:E266)+1,"")</f>
        <v/>
      </c>
      <c r="F267" s="125" t="str">
        <f t="shared" si="25"/>
        <v/>
      </c>
      <c r="G267" s="48"/>
      <c r="H267" s="127"/>
      <c r="M267" s="121"/>
      <c r="N267" s="121"/>
      <c r="O267" s="121"/>
      <c r="P267" s="121"/>
    </row>
    <row r="268" spans="1:16" ht="20.149999999999999" hidden="1" customHeight="1">
      <c r="A268" s="129" t="str">
        <f>IF(LEN(K11)&gt;0,MAX(A$63:$A267)+1,"")</f>
        <v/>
      </c>
      <c r="B268" s="125" t="str">
        <f t="shared" si="24"/>
        <v/>
      </c>
      <c r="C268" s="48"/>
      <c r="D268" s="127"/>
      <c r="E268" s="129" t="str">
        <f>IF(LEN(K36)&gt;0,MAX($E$63:E267)+1,"")</f>
        <v/>
      </c>
      <c r="F268" s="125" t="str">
        <f t="shared" si="25"/>
        <v/>
      </c>
      <c r="G268" s="48"/>
      <c r="H268" s="127"/>
      <c r="M268" s="121"/>
      <c r="N268" s="121"/>
      <c r="O268" s="121"/>
      <c r="P268" s="121"/>
    </row>
    <row r="269" spans="1:16" ht="20.149999999999999" hidden="1" customHeight="1">
      <c r="A269" s="129" t="str">
        <f>IF(LEN(K12)&gt;0,MAX(A$63:$A268)+1,"")</f>
        <v/>
      </c>
      <c r="B269" s="125" t="str">
        <f t="shared" si="24"/>
        <v/>
      </c>
      <c r="C269" s="48"/>
      <c r="D269" s="127"/>
      <c r="E269" s="129" t="str">
        <f>IF(LEN(K37)&gt;0,MAX($E$63:E268)+1,"")</f>
        <v/>
      </c>
      <c r="F269" s="125" t="str">
        <f t="shared" si="25"/>
        <v/>
      </c>
      <c r="G269" s="48"/>
      <c r="H269" s="127"/>
      <c r="M269" s="121"/>
      <c r="N269" s="121"/>
      <c r="O269" s="121"/>
      <c r="P269" s="121"/>
    </row>
    <row r="270" spans="1:16" ht="20.149999999999999" hidden="1" customHeight="1">
      <c r="A270" s="129" t="str">
        <f>IF(LEN(K13)&gt;0,MAX(A$63:$A269)+1,"")</f>
        <v/>
      </c>
      <c r="B270" s="125" t="str">
        <f t="shared" si="24"/>
        <v/>
      </c>
      <c r="C270" s="48"/>
      <c r="D270" s="127"/>
      <c r="E270" s="129" t="str">
        <f>IF(LEN(K38)&gt;0,MAX($E$63:E269)+1,"")</f>
        <v/>
      </c>
      <c r="F270" s="125" t="str">
        <f t="shared" si="25"/>
        <v/>
      </c>
      <c r="G270" s="48"/>
      <c r="H270" s="127"/>
      <c r="M270" s="121"/>
      <c r="N270" s="121"/>
      <c r="O270" s="121"/>
      <c r="P270" s="121"/>
    </row>
    <row r="271" spans="1:16" ht="20.149999999999999" hidden="1" customHeight="1">
      <c r="A271" s="129" t="str">
        <f>IF(LEN(K14)&gt;0,MAX(A$63:$A270)+1,"")</f>
        <v/>
      </c>
      <c r="B271" s="125" t="str">
        <f t="shared" si="24"/>
        <v/>
      </c>
      <c r="C271" s="48"/>
      <c r="D271" s="127"/>
      <c r="E271" s="129" t="str">
        <f>IF(LEN(K39)&gt;0,MAX($E$63:E270)+1,"")</f>
        <v/>
      </c>
      <c r="F271" s="125" t="str">
        <f t="shared" si="25"/>
        <v/>
      </c>
      <c r="G271" s="48"/>
      <c r="H271" s="127"/>
      <c r="M271" s="121"/>
      <c r="N271" s="121"/>
      <c r="O271" s="121"/>
      <c r="P271" s="121"/>
    </row>
    <row r="272" spans="1:16" ht="20.149999999999999" hidden="1" customHeight="1">
      <c r="A272" s="129" t="str">
        <f>IF(LEN(K15)&gt;0,MAX(A$63:$A271)+1,"")</f>
        <v/>
      </c>
      <c r="B272" s="125" t="str">
        <f t="shared" si="24"/>
        <v/>
      </c>
      <c r="C272" s="48"/>
      <c r="D272" s="127"/>
      <c r="E272" s="129" t="str">
        <f>IF(LEN(K40)&gt;0,MAX($E$63:E271)+1,"")</f>
        <v/>
      </c>
      <c r="F272" s="125" t="str">
        <f t="shared" si="25"/>
        <v/>
      </c>
      <c r="G272" s="48"/>
      <c r="H272" s="127"/>
      <c r="M272" s="121"/>
      <c r="N272" s="121"/>
      <c r="O272" s="121"/>
      <c r="P272" s="121"/>
    </row>
    <row r="273" spans="1:16" ht="20.149999999999999" hidden="1" customHeight="1">
      <c r="A273" s="129" t="str">
        <f>IF(LEN(K16)&gt;0,MAX(A$63:$A272)+1,"")</f>
        <v/>
      </c>
      <c r="B273" s="125" t="str">
        <f t="shared" si="24"/>
        <v/>
      </c>
      <c r="C273" s="48"/>
      <c r="D273" s="127"/>
      <c r="E273" s="129" t="str">
        <f>IF(LEN(K41)&gt;0,MAX($E$63:E272)+1,"")</f>
        <v/>
      </c>
      <c r="F273" s="125" t="str">
        <f t="shared" si="25"/>
        <v/>
      </c>
      <c r="G273" s="48"/>
      <c r="H273" s="127"/>
      <c r="M273" s="121"/>
      <c r="N273" s="121"/>
      <c r="O273" s="121"/>
      <c r="P273" s="121"/>
    </row>
    <row r="274" spans="1:16" ht="20.149999999999999" hidden="1" customHeight="1">
      <c r="A274" s="129" t="str">
        <f>IF(LEN(K17)&gt;0,MAX(A$63:$A273)+1,"")</f>
        <v/>
      </c>
      <c r="B274" s="125" t="str">
        <f t="shared" si="24"/>
        <v/>
      </c>
      <c r="C274" s="48"/>
      <c r="D274" s="127"/>
      <c r="E274" s="129" t="str">
        <f>IF(LEN(K42)&gt;0,MAX($E$63:E273)+1,"")</f>
        <v/>
      </c>
      <c r="F274" s="125" t="str">
        <f t="shared" si="25"/>
        <v/>
      </c>
      <c r="G274" s="48"/>
      <c r="H274" s="127"/>
      <c r="M274" s="121"/>
      <c r="N274" s="121"/>
      <c r="O274" s="121"/>
      <c r="P274" s="121"/>
    </row>
    <row r="275" spans="1:16" ht="20.149999999999999" hidden="1" customHeight="1">
      <c r="A275" s="129" t="str">
        <f>IF(LEN(K18)&gt;0,MAX(A$63:$A274)+1,"")</f>
        <v/>
      </c>
      <c r="B275" s="125" t="str">
        <f t="shared" si="24"/>
        <v/>
      </c>
      <c r="C275" s="48"/>
      <c r="D275" s="127"/>
      <c r="E275" s="129" t="str">
        <f>IF(LEN(K43)&gt;0,MAX($E$63:E274)+1,"")</f>
        <v/>
      </c>
      <c r="F275" s="125" t="str">
        <f t="shared" si="25"/>
        <v/>
      </c>
      <c r="G275" s="48"/>
      <c r="H275" s="127"/>
      <c r="M275" s="121"/>
      <c r="N275" s="121"/>
      <c r="O275" s="121"/>
      <c r="P275" s="121"/>
    </row>
    <row r="276" spans="1:16" ht="20.149999999999999" hidden="1" customHeight="1">
      <c r="A276" s="129" t="str">
        <f>IF(LEN(K19)&gt;0,MAX(A$63:$A275)+1,"")</f>
        <v/>
      </c>
      <c r="B276" s="125" t="str">
        <f t="shared" si="24"/>
        <v/>
      </c>
      <c r="C276" s="48"/>
      <c r="D276" s="127"/>
      <c r="E276" s="129" t="str">
        <f>IF(LEN(K44)&gt;0,MAX($E$63:E275)+1,"")</f>
        <v/>
      </c>
      <c r="F276" s="125" t="str">
        <f t="shared" si="25"/>
        <v/>
      </c>
      <c r="G276" s="48"/>
      <c r="H276" s="127"/>
      <c r="M276" s="121"/>
      <c r="N276" s="121"/>
      <c r="O276" s="121"/>
      <c r="P276" s="121"/>
    </row>
    <row r="277" spans="1:16" ht="20.149999999999999" hidden="1" customHeight="1">
      <c r="A277" s="129" t="str">
        <f>IF(LEN(K20)&gt;0,MAX(A$63:$A276)+1,"")</f>
        <v/>
      </c>
      <c r="B277" s="125" t="str">
        <f t="shared" si="24"/>
        <v/>
      </c>
      <c r="C277" s="48"/>
      <c r="D277" s="127"/>
      <c r="E277" s="129" t="str">
        <f>IF(LEN(K45)&gt;0,MAX($E$63:E276)+1,"")</f>
        <v/>
      </c>
      <c r="F277" s="125" t="str">
        <f t="shared" si="25"/>
        <v/>
      </c>
      <c r="G277" s="48"/>
      <c r="H277" s="127"/>
      <c r="M277" s="121"/>
      <c r="N277" s="121"/>
      <c r="O277" s="121"/>
      <c r="P277" s="121"/>
    </row>
    <row r="278" spans="1:16" ht="20.149999999999999" hidden="1" customHeight="1">
      <c r="A278" s="129" t="str">
        <f>IF(LEN(K21)&gt;0,MAX(A$63:$A277)+1,"")</f>
        <v/>
      </c>
      <c r="B278" s="125" t="str">
        <f t="shared" si="24"/>
        <v/>
      </c>
      <c r="C278" s="48"/>
      <c r="D278" s="124"/>
      <c r="E278" s="129" t="str">
        <f>IF(LEN(K46)&gt;0,MAX($E$63:E277)+1,"")</f>
        <v/>
      </c>
      <c r="F278" s="125" t="str">
        <f t="shared" si="25"/>
        <v/>
      </c>
      <c r="G278" s="48"/>
      <c r="H278" s="124"/>
      <c r="M278" s="121"/>
      <c r="N278" s="121"/>
      <c r="O278" s="121"/>
      <c r="P278" s="121"/>
    </row>
    <row r="279" spans="1:16" ht="20.149999999999999" hidden="1" customHeight="1">
      <c r="A279" s="129" t="str">
        <f>IF(LEN(K22)&gt;0,MAX(A$63:$A278)+1,"")</f>
        <v/>
      </c>
      <c r="B279" s="125" t="str">
        <f t="shared" si="24"/>
        <v/>
      </c>
      <c r="C279" s="48"/>
      <c r="D279" s="124"/>
      <c r="E279" s="129" t="str">
        <f>IF(LEN(K47)&gt;0,MAX($E$63:E278)+1,"")</f>
        <v/>
      </c>
      <c r="F279" s="125" t="str">
        <f t="shared" si="25"/>
        <v/>
      </c>
      <c r="G279" s="48"/>
      <c r="H279" s="124"/>
      <c r="M279" s="121"/>
      <c r="N279" s="121"/>
      <c r="O279" s="121"/>
      <c r="P279" s="121"/>
    </row>
    <row r="280" spans="1:16" ht="20.149999999999999" hidden="1" customHeight="1">
      <c r="A280" s="129" t="str">
        <f>IF(LEN(K23)&gt;0,MAX(A$63:$A279)+1,"")</f>
        <v/>
      </c>
      <c r="B280" s="125" t="str">
        <f t="shared" si="24"/>
        <v/>
      </c>
      <c r="C280" s="48"/>
      <c r="D280" s="124"/>
      <c r="E280" s="129" t="str">
        <f>IF(LEN(K48)&gt;0,MAX($E$63:E279)+1,"")</f>
        <v/>
      </c>
      <c r="F280" s="125" t="str">
        <f t="shared" si="25"/>
        <v/>
      </c>
      <c r="G280" s="48"/>
      <c r="H280" s="124"/>
      <c r="M280" s="121"/>
      <c r="N280" s="121"/>
      <c r="O280" s="121"/>
      <c r="P280" s="121"/>
    </row>
    <row r="281" spans="1:16" ht="20.149999999999999" hidden="1" customHeight="1">
      <c r="A281" s="129" t="str">
        <f>IF(LEN(K24)&gt;0,MAX(A$63:$A280)+1,"")</f>
        <v/>
      </c>
      <c r="B281" s="125" t="str">
        <f t="shared" si="24"/>
        <v/>
      </c>
      <c r="C281" s="48"/>
      <c r="D281" s="124"/>
      <c r="E281" s="129" t="str">
        <f>IF(LEN(K49)&gt;0,MAX($E$63:E280)+1,"")</f>
        <v/>
      </c>
      <c r="F281" s="125" t="str">
        <f t="shared" si="25"/>
        <v/>
      </c>
      <c r="G281" s="48"/>
      <c r="H281" s="124"/>
      <c r="M281" s="121"/>
      <c r="N281" s="121"/>
      <c r="O281" s="121"/>
      <c r="P281" s="121"/>
    </row>
    <row r="282" spans="1:16" ht="20.149999999999999" hidden="1" customHeight="1">
      <c r="A282" s="129" t="str">
        <f>IF(LEN(K25)&gt;0,MAX(A$63:$A281)+1,"")</f>
        <v/>
      </c>
      <c r="B282" s="125" t="str">
        <f t="shared" si="24"/>
        <v/>
      </c>
      <c r="C282" s="48"/>
      <c r="D282" s="124"/>
      <c r="E282" s="129" t="str">
        <f>IF(LEN(K50)&gt;0,MAX($E$63:E281)+1,"")</f>
        <v/>
      </c>
      <c r="F282" s="125" t="str">
        <f t="shared" si="25"/>
        <v/>
      </c>
      <c r="G282" s="48"/>
      <c r="H282" s="124"/>
      <c r="M282" s="121"/>
      <c r="N282" s="121"/>
      <c r="O282" s="121"/>
      <c r="P282" s="121"/>
    </row>
    <row r="283" spans="1:16" ht="20.149999999999999" hidden="1" customHeight="1">
      <c r="A283" s="129" t="str">
        <f>IF(LEN(L6)&gt;0,MAX(A$63:$A282)+1,"")</f>
        <v/>
      </c>
      <c r="B283" s="125" t="str">
        <f t="shared" ref="B283:B302" si="26">IF(LEN(L6)&gt;0,L6,"")</f>
        <v/>
      </c>
      <c r="C283" s="48" t="b">
        <f>IF(SUM(A283:A302)&gt;0,MIN(A283:A302))</f>
        <v>0</v>
      </c>
      <c r="D283" s="127" t="b">
        <f>IF(SUM(A283:A302)&gt;0,L5)</f>
        <v>0</v>
      </c>
      <c r="E283" s="129" t="str">
        <f>IF(LEN(L31)&gt;0,MAX($E$63:E282)+1,"")</f>
        <v/>
      </c>
      <c r="F283" s="125" t="str">
        <f>IF(LEN(L31)&gt;0,L31,"")</f>
        <v/>
      </c>
      <c r="G283" s="48" t="b">
        <f>IF(SUM(E283:E302)&gt;0,MIN(E283:E302))</f>
        <v>0</v>
      </c>
      <c r="H283" s="127" t="b">
        <f>IF(SUM(E283:E302)&gt;0,L30)</f>
        <v>0</v>
      </c>
      <c r="M283" s="121"/>
      <c r="N283" s="121"/>
      <c r="O283" s="121"/>
      <c r="P283" s="121"/>
    </row>
    <row r="284" spans="1:16" ht="20.149999999999999" hidden="1" customHeight="1">
      <c r="A284" s="129" t="str">
        <f>IF(LEN(L7)&gt;0,MAX(A$63:$A283)+1,"")</f>
        <v/>
      </c>
      <c r="B284" s="125" t="str">
        <f t="shared" si="26"/>
        <v/>
      </c>
      <c r="C284" s="48"/>
      <c r="D284" s="127"/>
      <c r="E284" s="129" t="str">
        <f>IF(LEN(L32)&gt;0,MAX($E$63:E283)+1,"")</f>
        <v/>
      </c>
      <c r="F284" s="125" t="str">
        <f t="shared" ref="F284:F302" si="27">IF(LEN(L32)&gt;0,L32,"")</f>
        <v/>
      </c>
      <c r="G284" s="48"/>
      <c r="H284" s="127"/>
      <c r="M284" s="121"/>
      <c r="N284" s="121"/>
      <c r="O284" s="121"/>
      <c r="P284" s="121"/>
    </row>
    <row r="285" spans="1:16" ht="20.149999999999999" hidden="1" customHeight="1">
      <c r="A285" s="129" t="str">
        <f>IF(LEN(L8)&gt;0,MAX(A$63:$A284)+1,"")</f>
        <v/>
      </c>
      <c r="B285" s="125" t="str">
        <f t="shared" si="26"/>
        <v/>
      </c>
      <c r="C285" s="48"/>
      <c r="D285" s="127"/>
      <c r="E285" s="129" t="str">
        <f>IF(LEN(L33)&gt;0,MAX($E$63:E284)+1,"")</f>
        <v/>
      </c>
      <c r="F285" s="125" t="str">
        <f t="shared" si="27"/>
        <v/>
      </c>
      <c r="G285" s="48"/>
      <c r="H285" s="127"/>
      <c r="M285" s="121"/>
      <c r="N285" s="121"/>
      <c r="O285" s="121"/>
      <c r="P285" s="121"/>
    </row>
    <row r="286" spans="1:16" ht="20.149999999999999" hidden="1" customHeight="1">
      <c r="A286" s="129" t="str">
        <f>IF(LEN(L9)&gt;0,MAX(A$63:$A285)+1,"")</f>
        <v/>
      </c>
      <c r="B286" s="125" t="str">
        <f t="shared" si="26"/>
        <v/>
      </c>
      <c r="C286" s="48"/>
      <c r="D286" s="127"/>
      <c r="E286" s="129" t="str">
        <f>IF(LEN(L34)&gt;0,MAX($E$63:E285)+1,"")</f>
        <v/>
      </c>
      <c r="F286" s="125" t="str">
        <f t="shared" si="27"/>
        <v/>
      </c>
      <c r="G286" s="48"/>
      <c r="H286" s="127"/>
      <c r="M286" s="121"/>
      <c r="N286" s="121"/>
      <c r="O286" s="121"/>
      <c r="P286" s="121"/>
    </row>
    <row r="287" spans="1:16" ht="20.149999999999999" hidden="1" customHeight="1">
      <c r="A287" s="129" t="str">
        <f>IF(LEN(L10)&gt;0,MAX(A$63:$A286)+1,"")</f>
        <v/>
      </c>
      <c r="B287" s="125" t="str">
        <f t="shared" si="26"/>
        <v/>
      </c>
      <c r="C287" s="48"/>
      <c r="D287" s="127"/>
      <c r="E287" s="129" t="str">
        <f>IF(LEN(L35)&gt;0,MAX($E$63:E286)+1,"")</f>
        <v/>
      </c>
      <c r="F287" s="125" t="str">
        <f t="shared" si="27"/>
        <v/>
      </c>
      <c r="G287" s="48"/>
      <c r="H287" s="127"/>
      <c r="M287" s="121"/>
      <c r="N287" s="121"/>
      <c r="O287" s="121"/>
      <c r="P287" s="121"/>
    </row>
    <row r="288" spans="1:16" ht="20.149999999999999" hidden="1" customHeight="1">
      <c r="A288" s="129" t="str">
        <f>IF(LEN(L11)&gt;0,MAX(A$63:$A287)+1,"")</f>
        <v/>
      </c>
      <c r="B288" s="125" t="str">
        <f t="shared" si="26"/>
        <v/>
      </c>
      <c r="C288" s="48"/>
      <c r="D288" s="127"/>
      <c r="E288" s="129" t="str">
        <f>IF(LEN(L36)&gt;0,MAX($E$63:E287)+1,"")</f>
        <v/>
      </c>
      <c r="F288" s="125" t="str">
        <f t="shared" si="27"/>
        <v/>
      </c>
      <c r="G288" s="48"/>
      <c r="H288" s="127"/>
      <c r="M288" s="121"/>
      <c r="N288" s="121"/>
      <c r="O288" s="121"/>
      <c r="P288" s="121"/>
    </row>
    <row r="289" spans="1:16" ht="20.149999999999999" hidden="1" customHeight="1">
      <c r="A289" s="129" t="str">
        <f>IF(LEN(L12)&gt;0,MAX(A$63:$A288)+1,"")</f>
        <v/>
      </c>
      <c r="B289" s="125" t="str">
        <f t="shared" si="26"/>
        <v/>
      </c>
      <c r="C289" s="48"/>
      <c r="D289" s="127"/>
      <c r="E289" s="129" t="str">
        <f>IF(LEN(L37)&gt;0,MAX($E$63:E288)+1,"")</f>
        <v/>
      </c>
      <c r="F289" s="125" t="str">
        <f t="shared" si="27"/>
        <v/>
      </c>
      <c r="G289" s="48"/>
      <c r="H289" s="127"/>
      <c r="M289" s="121"/>
      <c r="N289" s="121"/>
      <c r="O289" s="121"/>
      <c r="P289" s="121"/>
    </row>
    <row r="290" spans="1:16" ht="20.149999999999999" hidden="1" customHeight="1">
      <c r="A290" s="129" t="str">
        <f>IF(LEN(L13)&gt;0,MAX(A$63:$A289)+1,"")</f>
        <v/>
      </c>
      <c r="B290" s="125" t="str">
        <f t="shared" si="26"/>
        <v/>
      </c>
      <c r="C290" s="48"/>
      <c r="D290" s="127"/>
      <c r="E290" s="129" t="str">
        <f>IF(LEN(L38)&gt;0,MAX($E$63:E289)+1,"")</f>
        <v/>
      </c>
      <c r="F290" s="125" t="str">
        <f t="shared" si="27"/>
        <v/>
      </c>
      <c r="G290" s="48"/>
      <c r="H290" s="127"/>
      <c r="M290" s="121"/>
      <c r="N290" s="121"/>
      <c r="O290" s="121"/>
      <c r="P290" s="121"/>
    </row>
    <row r="291" spans="1:16" ht="20.149999999999999" hidden="1" customHeight="1">
      <c r="A291" s="129" t="str">
        <f>IF(LEN(L14)&gt;0,MAX(A$63:$A290)+1,"")</f>
        <v/>
      </c>
      <c r="B291" s="125" t="str">
        <f t="shared" si="26"/>
        <v/>
      </c>
      <c r="C291" s="48"/>
      <c r="D291" s="127"/>
      <c r="E291" s="129" t="str">
        <f>IF(LEN(L39)&gt;0,MAX($E$63:E290)+1,"")</f>
        <v/>
      </c>
      <c r="F291" s="125" t="str">
        <f t="shared" si="27"/>
        <v/>
      </c>
      <c r="G291" s="48"/>
      <c r="H291" s="127"/>
      <c r="M291" s="121"/>
      <c r="N291" s="121"/>
      <c r="O291" s="121"/>
      <c r="P291" s="121"/>
    </row>
    <row r="292" spans="1:16" ht="20.149999999999999" hidden="1" customHeight="1">
      <c r="A292" s="129" t="str">
        <f>IF(LEN(L15)&gt;0,MAX(A$63:$A291)+1,"")</f>
        <v/>
      </c>
      <c r="B292" s="125" t="str">
        <f t="shared" si="26"/>
        <v/>
      </c>
      <c r="C292" s="48"/>
      <c r="D292" s="127"/>
      <c r="E292" s="129" t="str">
        <f>IF(LEN(L40)&gt;0,MAX($E$63:E291)+1,"")</f>
        <v/>
      </c>
      <c r="F292" s="125" t="str">
        <f t="shared" si="27"/>
        <v/>
      </c>
      <c r="G292" s="48"/>
      <c r="H292" s="127"/>
      <c r="M292" s="121"/>
      <c r="N292" s="121"/>
      <c r="O292" s="121"/>
      <c r="P292" s="121"/>
    </row>
    <row r="293" spans="1:16" ht="20.149999999999999" hidden="1" customHeight="1">
      <c r="A293" s="129" t="str">
        <f>IF(LEN(L16)&gt;0,MAX(A$63:$A292)+1,"")</f>
        <v/>
      </c>
      <c r="B293" s="125" t="str">
        <f t="shared" si="26"/>
        <v/>
      </c>
      <c r="C293" s="48"/>
      <c r="D293" s="127"/>
      <c r="E293" s="129" t="str">
        <f>IF(LEN(L41)&gt;0,MAX($E$63:E292)+1,"")</f>
        <v/>
      </c>
      <c r="F293" s="125" t="str">
        <f t="shared" si="27"/>
        <v/>
      </c>
      <c r="G293" s="48"/>
      <c r="H293" s="127"/>
      <c r="M293" s="121"/>
      <c r="N293" s="121"/>
      <c r="O293" s="121"/>
      <c r="P293" s="121"/>
    </row>
    <row r="294" spans="1:16" ht="20.149999999999999" hidden="1" customHeight="1">
      <c r="A294" s="129" t="str">
        <f>IF(LEN(L17)&gt;0,MAX(A$63:$A293)+1,"")</f>
        <v/>
      </c>
      <c r="B294" s="125" t="str">
        <f t="shared" si="26"/>
        <v/>
      </c>
      <c r="C294" s="48"/>
      <c r="D294" s="127"/>
      <c r="E294" s="129" t="str">
        <f>IF(LEN(L42)&gt;0,MAX($E$63:E293)+1,"")</f>
        <v/>
      </c>
      <c r="F294" s="125" t="str">
        <f t="shared" si="27"/>
        <v/>
      </c>
      <c r="G294" s="48"/>
      <c r="H294" s="127"/>
      <c r="M294" s="121"/>
      <c r="N294" s="121"/>
      <c r="O294" s="121"/>
      <c r="P294" s="121"/>
    </row>
    <row r="295" spans="1:16" ht="20.149999999999999" hidden="1" customHeight="1">
      <c r="A295" s="129" t="str">
        <f>IF(LEN(L18)&gt;0,MAX(A$63:$A294)+1,"")</f>
        <v/>
      </c>
      <c r="B295" s="125" t="str">
        <f t="shared" si="26"/>
        <v/>
      </c>
      <c r="C295" s="48"/>
      <c r="D295" s="127"/>
      <c r="E295" s="129" t="str">
        <f>IF(LEN(L43)&gt;0,MAX($E$63:E294)+1,"")</f>
        <v/>
      </c>
      <c r="F295" s="125" t="str">
        <f t="shared" si="27"/>
        <v/>
      </c>
      <c r="G295" s="48"/>
      <c r="H295" s="127"/>
      <c r="M295" s="121"/>
      <c r="N295" s="121"/>
      <c r="O295" s="121"/>
      <c r="P295" s="121"/>
    </row>
    <row r="296" spans="1:16" ht="20.149999999999999" hidden="1" customHeight="1">
      <c r="A296" s="129" t="str">
        <f>IF(LEN(L19)&gt;0,MAX(A$63:$A295)+1,"")</f>
        <v/>
      </c>
      <c r="B296" s="125" t="str">
        <f t="shared" si="26"/>
        <v/>
      </c>
      <c r="C296" s="48"/>
      <c r="D296" s="127"/>
      <c r="E296" s="129" t="str">
        <f>IF(LEN(L44)&gt;0,MAX($E$63:E295)+1,"")</f>
        <v/>
      </c>
      <c r="F296" s="125" t="str">
        <f t="shared" si="27"/>
        <v/>
      </c>
      <c r="G296" s="48"/>
      <c r="H296" s="127"/>
      <c r="M296" s="121"/>
      <c r="N296" s="121"/>
      <c r="O296" s="121"/>
      <c r="P296" s="121"/>
    </row>
    <row r="297" spans="1:16" ht="20.149999999999999" hidden="1" customHeight="1">
      <c r="A297" s="129" t="str">
        <f>IF(LEN(L20)&gt;0,MAX(A$63:$A296)+1,"")</f>
        <v/>
      </c>
      <c r="B297" s="125" t="str">
        <f t="shared" si="26"/>
        <v/>
      </c>
      <c r="C297" s="48"/>
      <c r="D297" s="127"/>
      <c r="E297" s="129" t="str">
        <f>IF(LEN(L45)&gt;0,MAX($E$63:E296)+1,"")</f>
        <v/>
      </c>
      <c r="F297" s="125" t="str">
        <f t="shared" si="27"/>
        <v/>
      </c>
      <c r="G297" s="48"/>
      <c r="H297" s="127"/>
      <c r="M297" s="121"/>
      <c r="N297" s="121"/>
      <c r="O297" s="121"/>
      <c r="P297" s="121"/>
    </row>
    <row r="298" spans="1:16" ht="20.149999999999999" hidden="1" customHeight="1">
      <c r="A298" s="129" t="str">
        <f>IF(LEN(L21)&gt;0,MAX(A$63:$A297)+1,"")</f>
        <v/>
      </c>
      <c r="B298" s="125" t="str">
        <f t="shared" si="26"/>
        <v/>
      </c>
      <c r="C298" s="48"/>
      <c r="D298" s="124"/>
      <c r="E298" s="129" t="str">
        <f>IF(LEN(L46)&gt;0,MAX($E$63:E297)+1,"")</f>
        <v/>
      </c>
      <c r="F298" s="125" t="str">
        <f t="shared" si="27"/>
        <v/>
      </c>
      <c r="G298" s="48"/>
      <c r="H298" s="124"/>
      <c r="M298" s="121"/>
      <c r="N298" s="121"/>
      <c r="O298" s="121"/>
      <c r="P298" s="121"/>
    </row>
    <row r="299" spans="1:16" ht="20.149999999999999" hidden="1" customHeight="1">
      <c r="A299" s="129" t="str">
        <f>IF(LEN(L22)&gt;0,MAX(A$63:$A298)+1,"")</f>
        <v/>
      </c>
      <c r="B299" s="125" t="str">
        <f t="shared" si="26"/>
        <v/>
      </c>
      <c r="C299" s="48"/>
      <c r="D299" s="124"/>
      <c r="E299" s="129" t="str">
        <f>IF(LEN(L47)&gt;0,MAX($E$63:E298)+1,"")</f>
        <v/>
      </c>
      <c r="F299" s="125" t="str">
        <f t="shared" si="27"/>
        <v/>
      </c>
      <c r="G299" s="48"/>
      <c r="H299" s="124"/>
      <c r="M299" s="121"/>
      <c r="N299" s="121"/>
      <c r="O299" s="121"/>
      <c r="P299" s="121"/>
    </row>
    <row r="300" spans="1:16" ht="20.149999999999999" hidden="1" customHeight="1">
      <c r="A300" s="129" t="str">
        <f>IF(LEN(L23)&gt;0,MAX(A$63:$A299)+1,"")</f>
        <v/>
      </c>
      <c r="B300" s="125" t="str">
        <f t="shared" si="26"/>
        <v/>
      </c>
      <c r="C300" s="48"/>
      <c r="D300" s="124"/>
      <c r="E300" s="129" t="str">
        <f>IF(LEN(L48)&gt;0,MAX($E$63:E299)+1,"")</f>
        <v/>
      </c>
      <c r="F300" s="125" t="str">
        <f t="shared" si="27"/>
        <v/>
      </c>
      <c r="G300" s="48"/>
      <c r="H300" s="124"/>
      <c r="M300" s="121"/>
      <c r="N300" s="121"/>
      <c r="O300" s="121"/>
      <c r="P300" s="121"/>
    </row>
    <row r="301" spans="1:16" ht="20.149999999999999" hidden="1" customHeight="1">
      <c r="A301" s="129" t="str">
        <f>IF(LEN(L24)&gt;0,MAX(A$63:$A300)+1,"")</f>
        <v/>
      </c>
      <c r="B301" s="125" t="str">
        <f t="shared" si="26"/>
        <v/>
      </c>
      <c r="C301" s="48"/>
      <c r="D301" s="124"/>
      <c r="E301" s="129" t="str">
        <f>IF(LEN(L49)&gt;0,MAX($E$63:E300)+1,"")</f>
        <v/>
      </c>
      <c r="F301" s="125" t="str">
        <f t="shared" si="27"/>
        <v/>
      </c>
      <c r="G301" s="48"/>
      <c r="H301" s="124"/>
      <c r="M301" s="121"/>
      <c r="N301" s="121"/>
      <c r="O301" s="121"/>
      <c r="P301" s="121"/>
    </row>
    <row r="302" spans="1:16" ht="20.149999999999999" hidden="1" customHeight="1">
      <c r="A302" s="129" t="str">
        <f>IF(LEN(L25)&gt;0,MAX(A$63:$A301)+1,"")</f>
        <v/>
      </c>
      <c r="B302" s="125" t="str">
        <f t="shared" si="26"/>
        <v/>
      </c>
      <c r="C302" s="48"/>
      <c r="D302" s="124"/>
      <c r="E302" s="129" t="str">
        <f>IF(LEN(L50)&gt;0,MAX($E$63:E301)+1,"")</f>
        <v/>
      </c>
      <c r="F302" s="125" t="str">
        <f t="shared" si="27"/>
        <v/>
      </c>
      <c r="G302" s="48"/>
      <c r="H302" s="124"/>
      <c r="M302" s="121"/>
      <c r="N302" s="121"/>
      <c r="O302" s="121"/>
      <c r="P302" s="121"/>
    </row>
    <row r="303" spans="1:16" ht="20.149999999999999" hidden="1" customHeight="1">
      <c r="A303" s="129" t="str">
        <f>IF(LEN(M6)&gt;0,MAX(A$63:$A302)+1,"")</f>
        <v/>
      </c>
      <c r="B303" s="125" t="str">
        <f t="shared" ref="B303:B322" si="28">IF(LEN(M6)&gt;0,M6,"")</f>
        <v/>
      </c>
      <c r="C303" s="48" t="b">
        <f>IF(SUM(A303:A322)&gt;0,MIN(A303:A322))</f>
        <v>0</v>
      </c>
      <c r="D303" s="127" t="b">
        <f>IF(SUM(A303:A322)&gt;0,M5)</f>
        <v>0</v>
      </c>
      <c r="E303" s="129" t="str">
        <f>IF(LEN(M31)&gt;0,MAX($E$63:E302)+1,"")</f>
        <v/>
      </c>
      <c r="F303" s="125" t="str">
        <f>IF(LEN(M31)&gt;0,M31,"")</f>
        <v/>
      </c>
      <c r="G303" s="48" t="b">
        <f>IF(SUM(E303:E322)&gt;0,MIN(E303:E322))</f>
        <v>0</v>
      </c>
      <c r="H303" s="127" t="b">
        <f>IF(SUM(E303:E322)&gt;0,M30)</f>
        <v>0</v>
      </c>
      <c r="M303" s="121"/>
      <c r="N303" s="121"/>
      <c r="O303" s="121"/>
      <c r="P303" s="121"/>
    </row>
    <row r="304" spans="1:16" ht="20.149999999999999" hidden="1" customHeight="1">
      <c r="A304" s="129" t="str">
        <f>IF(LEN(M7)&gt;0,MAX(A$63:$A303)+1,"")</f>
        <v/>
      </c>
      <c r="B304" s="125" t="str">
        <f t="shared" si="28"/>
        <v/>
      </c>
      <c r="C304" s="48"/>
      <c r="D304" s="127"/>
      <c r="E304" s="129" t="str">
        <f>IF(LEN(M32)&gt;0,MAX($E$63:E303)+1,"")</f>
        <v/>
      </c>
      <c r="F304" s="125" t="str">
        <f t="shared" ref="F304:F322" si="29">IF(LEN(M32)&gt;0,M32,"")</f>
        <v/>
      </c>
      <c r="G304" s="48"/>
      <c r="H304" s="127"/>
      <c r="M304" s="121"/>
      <c r="N304" s="121"/>
      <c r="O304" s="121"/>
      <c r="P304" s="121"/>
    </row>
    <row r="305" spans="1:16" ht="20.149999999999999" hidden="1" customHeight="1">
      <c r="A305" s="129" t="str">
        <f>IF(LEN(M8)&gt;0,MAX(A$63:$A304)+1,"")</f>
        <v/>
      </c>
      <c r="B305" s="125" t="str">
        <f t="shared" si="28"/>
        <v/>
      </c>
      <c r="C305" s="48"/>
      <c r="D305" s="127"/>
      <c r="E305" s="129" t="str">
        <f>IF(LEN(M33)&gt;0,MAX($E$63:E304)+1,"")</f>
        <v/>
      </c>
      <c r="F305" s="125" t="str">
        <f t="shared" si="29"/>
        <v/>
      </c>
      <c r="G305" s="48"/>
      <c r="H305" s="127"/>
      <c r="M305" s="121"/>
      <c r="N305" s="121"/>
      <c r="O305" s="121"/>
      <c r="P305" s="121"/>
    </row>
    <row r="306" spans="1:16" ht="20.149999999999999" hidden="1" customHeight="1">
      <c r="A306" s="129" t="str">
        <f>IF(LEN(M9)&gt;0,MAX(A$63:$A305)+1,"")</f>
        <v/>
      </c>
      <c r="B306" s="125" t="str">
        <f t="shared" si="28"/>
        <v/>
      </c>
      <c r="C306" s="48"/>
      <c r="D306" s="127"/>
      <c r="E306" s="129" t="str">
        <f>IF(LEN(M34)&gt;0,MAX($E$63:E305)+1,"")</f>
        <v/>
      </c>
      <c r="F306" s="125" t="str">
        <f t="shared" si="29"/>
        <v/>
      </c>
      <c r="G306" s="48"/>
      <c r="H306" s="127"/>
      <c r="M306" s="121"/>
      <c r="N306" s="121"/>
      <c r="O306" s="121"/>
      <c r="P306" s="121"/>
    </row>
    <row r="307" spans="1:16" ht="20.149999999999999" hidden="1" customHeight="1">
      <c r="A307" s="129" t="str">
        <f>IF(LEN(M10)&gt;0,MAX(A$63:$A306)+1,"")</f>
        <v/>
      </c>
      <c r="B307" s="125" t="str">
        <f t="shared" si="28"/>
        <v/>
      </c>
      <c r="C307" s="48"/>
      <c r="D307" s="127"/>
      <c r="E307" s="129" t="str">
        <f>IF(LEN(M35)&gt;0,MAX($E$63:E306)+1,"")</f>
        <v/>
      </c>
      <c r="F307" s="125" t="str">
        <f t="shared" si="29"/>
        <v/>
      </c>
      <c r="G307" s="48"/>
      <c r="H307" s="127"/>
      <c r="M307" s="121"/>
      <c r="N307" s="121"/>
      <c r="O307" s="121"/>
      <c r="P307" s="121"/>
    </row>
    <row r="308" spans="1:16" ht="20.149999999999999" hidden="1" customHeight="1">
      <c r="A308" s="129" t="str">
        <f>IF(LEN(M11)&gt;0,MAX(A$63:$A307)+1,"")</f>
        <v/>
      </c>
      <c r="B308" s="125" t="str">
        <f t="shared" si="28"/>
        <v/>
      </c>
      <c r="C308" s="48"/>
      <c r="D308" s="127"/>
      <c r="E308" s="129" t="str">
        <f>IF(LEN(M36)&gt;0,MAX($E$63:E307)+1,"")</f>
        <v/>
      </c>
      <c r="F308" s="125" t="str">
        <f t="shared" si="29"/>
        <v/>
      </c>
      <c r="G308" s="48"/>
      <c r="H308" s="127"/>
      <c r="M308" s="121"/>
      <c r="N308" s="121"/>
      <c r="O308" s="121"/>
      <c r="P308" s="121"/>
    </row>
    <row r="309" spans="1:16" ht="20.149999999999999" hidden="1" customHeight="1">
      <c r="A309" s="129" t="str">
        <f>IF(LEN(M12)&gt;0,MAX(A$63:$A308)+1,"")</f>
        <v/>
      </c>
      <c r="B309" s="125" t="str">
        <f t="shared" si="28"/>
        <v/>
      </c>
      <c r="C309" s="48"/>
      <c r="D309" s="127"/>
      <c r="E309" s="129" t="str">
        <f>IF(LEN(M37)&gt;0,MAX($E$63:E308)+1,"")</f>
        <v/>
      </c>
      <c r="F309" s="125" t="str">
        <f t="shared" si="29"/>
        <v/>
      </c>
      <c r="G309" s="48"/>
      <c r="H309" s="127"/>
      <c r="M309" s="121"/>
      <c r="N309" s="121"/>
      <c r="O309" s="121"/>
      <c r="P309" s="121"/>
    </row>
    <row r="310" spans="1:16" ht="20.149999999999999" hidden="1" customHeight="1">
      <c r="A310" s="129" t="str">
        <f>IF(LEN(M13)&gt;0,MAX(A$63:$A309)+1,"")</f>
        <v/>
      </c>
      <c r="B310" s="125" t="str">
        <f t="shared" si="28"/>
        <v/>
      </c>
      <c r="C310" s="48"/>
      <c r="D310" s="127"/>
      <c r="E310" s="129" t="str">
        <f>IF(LEN(M38)&gt;0,MAX($E$63:E309)+1,"")</f>
        <v/>
      </c>
      <c r="F310" s="125" t="str">
        <f t="shared" si="29"/>
        <v/>
      </c>
      <c r="G310" s="48"/>
      <c r="H310" s="127"/>
      <c r="M310" s="121"/>
      <c r="N310" s="121"/>
      <c r="O310" s="121"/>
      <c r="P310" s="121"/>
    </row>
    <row r="311" spans="1:16" ht="20.149999999999999" hidden="1" customHeight="1">
      <c r="A311" s="129" t="str">
        <f>IF(LEN(M14)&gt;0,MAX(A$63:$A310)+1,"")</f>
        <v/>
      </c>
      <c r="B311" s="125" t="str">
        <f t="shared" si="28"/>
        <v/>
      </c>
      <c r="C311" s="48"/>
      <c r="D311" s="127"/>
      <c r="E311" s="129" t="str">
        <f>IF(LEN(M39)&gt;0,MAX($E$63:E310)+1,"")</f>
        <v/>
      </c>
      <c r="F311" s="125" t="str">
        <f t="shared" si="29"/>
        <v/>
      </c>
      <c r="G311" s="48"/>
      <c r="H311" s="127"/>
      <c r="M311" s="121"/>
      <c r="N311" s="121"/>
      <c r="O311" s="121"/>
      <c r="P311" s="121"/>
    </row>
    <row r="312" spans="1:16" ht="20.149999999999999" hidden="1" customHeight="1">
      <c r="A312" s="129" t="str">
        <f>IF(LEN(M15)&gt;0,MAX(A$63:$A311)+1,"")</f>
        <v/>
      </c>
      <c r="B312" s="125" t="str">
        <f t="shared" si="28"/>
        <v/>
      </c>
      <c r="C312" s="48"/>
      <c r="D312" s="127"/>
      <c r="E312" s="129" t="str">
        <f>IF(LEN(M40)&gt;0,MAX($E$63:E311)+1,"")</f>
        <v/>
      </c>
      <c r="F312" s="125" t="str">
        <f t="shared" si="29"/>
        <v/>
      </c>
      <c r="G312" s="48"/>
      <c r="H312" s="127"/>
      <c r="M312" s="121"/>
      <c r="N312" s="121"/>
      <c r="O312" s="121"/>
      <c r="P312" s="121"/>
    </row>
    <row r="313" spans="1:16" ht="20.149999999999999" hidden="1" customHeight="1">
      <c r="A313" s="129" t="str">
        <f>IF(LEN(M16)&gt;0,MAX(A$63:$A312)+1,"")</f>
        <v/>
      </c>
      <c r="B313" s="125" t="str">
        <f t="shared" si="28"/>
        <v/>
      </c>
      <c r="C313" s="48"/>
      <c r="D313" s="127"/>
      <c r="E313" s="129" t="str">
        <f>IF(LEN(M41)&gt;0,MAX($E$63:E312)+1,"")</f>
        <v/>
      </c>
      <c r="F313" s="125" t="str">
        <f t="shared" si="29"/>
        <v/>
      </c>
      <c r="G313" s="48"/>
      <c r="H313" s="127"/>
      <c r="M313" s="121"/>
      <c r="N313" s="121"/>
      <c r="O313" s="121"/>
      <c r="P313" s="121"/>
    </row>
    <row r="314" spans="1:16" ht="20.149999999999999" hidden="1" customHeight="1">
      <c r="A314" s="129" t="str">
        <f>IF(LEN(M17)&gt;0,MAX(A$63:$A313)+1,"")</f>
        <v/>
      </c>
      <c r="B314" s="125" t="str">
        <f t="shared" si="28"/>
        <v/>
      </c>
      <c r="C314" s="48"/>
      <c r="D314" s="127"/>
      <c r="E314" s="129" t="str">
        <f>IF(LEN(M42)&gt;0,MAX($E$63:E313)+1,"")</f>
        <v/>
      </c>
      <c r="F314" s="125" t="str">
        <f t="shared" si="29"/>
        <v/>
      </c>
      <c r="G314" s="48"/>
      <c r="H314" s="127"/>
      <c r="M314" s="121"/>
      <c r="N314" s="121"/>
      <c r="O314" s="121"/>
      <c r="P314" s="121"/>
    </row>
    <row r="315" spans="1:16" ht="20.149999999999999" hidden="1" customHeight="1">
      <c r="A315" s="129" t="str">
        <f>IF(LEN(M18)&gt;0,MAX(A$63:$A314)+1,"")</f>
        <v/>
      </c>
      <c r="B315" s="125" t="str">
        <f t="shared" si="28"/>
        <v/>
      </c>
      <c r="C315" s="48"/>
      <c r="D315" s="127"/>
      <c r="E315" s="129" t="str">
        <f>IF(LEN(M43)&gt;0,MAX($E$63:E314)+1,"")</f>
        <v/>
      </c>
      <c r="F315" s="125" t="str">
        <f>IF(LEN(M43)&gt;0,M43,"")</f>
        <v/>
      </c>
      <c r="G315" s="48"/>
      <c r="H315" s="127"/>
      <c r="M315" s="121"/>
      <c r="N315" s="121"/>
      <c r="O315" s="121"/>
      <c r="P315" s="121"/>
    </row>
    <row r="316" spans="1:16" ht="20.149999999999999" hidden="1" customHeight="1">
      <c r="A316" s="129" t="str">
        <f>IF(LEN(M19)&gt;0,MAX(A$63:$A315)+1,"")</f>
        <v/>
      </c>
      <c r="B316" s="125" t="str">
        <f t="shared" si="28"/>
        <v/>
      </c>
      <c r="C316" s="48"/>
      <c r="D316" s="127"/>
      <c r="E316" s="129" t="str">
        <f>IF(LEN(M44)&gt;0,MAX($E$63:E315)+1,"")</f>
        <v/>
      </c>
      <c r="F316" s="125" t="str">
        <f t="shared" si="29"/>
        <v/>
      </c>
      <c r="G316" s="48"/>
      <c r="H316" s="127"/>
      <c r="M316" s="121"/>
      <c r="N316" s="121"/>
      <c r="O316" s="121"/>
      <c r="P316" s="121"/>
    </row>
    <row r="317" spans="1:16" ht="20.149999999999999" hidden="1" customHeight="1">
      <c r="A317" s="129" t="str">
        <f>IF(LEN(M20)&gt;0,MAX(A$63:$A316)+1,"")</f>
        <v/>
      </c>
      <c r="B317" s="125" t="str">
        <f t="shared" si="28"/>
        <v/>
      </c>
      <c r="C317" s="48"/>
      <c r="D317" s="127"/>
      <c r="E317" s="129" t="str">
        <f>IF(LEN(M45)&gt;0,MAX($E$63:E316)+1,"")</f>
        <v/>
      </c>
      <c r="F317" s="125" t="str">
        <f t="shared" si="29"/>
        <v/>
      </c>
      <c r="G317" s="48"/>
      <c r="H317" s="127"/>
      <c r="M317" s="121"/>
      <c r="N317" s="121"/>
      <c r="O317" s="121"/>
      <c r="P317" s="121"/>
    </row>
    <row r="318" spans="1:16" ht="20.149999999999999" hidden="1" customHeight="1">
      <c r="A318" s="129" t="str">
        <f>IF(LEN(M21)&gt;0,MAX(A$63:$A317)+1,"")</f>
        <v/>
      </c>
      <c r="B318" s="125" t="str">
        <f t="shared" si="28"/>
        <v/>
      </c>
      <c r="C318" s="48"/>
      <c r="D318" s="124"/>
      <c r="E318" s="129" t="str">
        <f>IF(LEN(M46)&gt;0,MAX($E$63:E317)+1,"")</f>
        <v/>
      </c>
      <c r="F318" s="125" t="str">
        <f t="shared" si="29"/>
        <v/>
      </c>
      <c r="G318" s="48"/>
      <c r="H318" s="124"/>
      <c r="M318" s="121"/>
      <c r="N318" s="121"/>
      <c r="O318" s="121"/>
      <c r="P318" s="121"/>
    </row>
    <row r="319" spans="1:16" ht="20.149999999999999" hidden="1" customHeight="1">
      <c r="A319" s="129" t="str">
        <f>IF(LEN(M22)&gt;0,MAX(A$63:$A318)+1,"")</f>
        <v/>
      </c>
      <c r="B319" s="125" t="str">
        <f t="shared" si="28"/>
        <v/>
      </c>
      <c r="C319" s="48"/>
      <c r="D319" s="124"/>
      <c r="E319" s="129" t="str">
        <f>IF(LEN(M47)&gt;0,MAX($E$63:E318)+1,"")</f>
        <v/>
      </c>
      <c r="F319" s="125" t="str">
        <f t="shared" si="29"/>
        <v/>
      </c>
      <c r="G319" s="48"/>
      <c r="H319" s="124"/>
      <c r="M319" s="121"/>
      <c r="N319" s="121"/>
      <c r="O319" s="121"/>
      <c r="P319" s="121"/>
    </row>
    <row r="320" spans="1:16" ht="20.149999999999999" hidden="1" customHeight="1">
      <c r="A320" s="129" t="str">
        <f>IF(LEN(M23)&gt;0,MAX(A$63:$A319)+1,"")</f>
        <v/>
      </c>
      <c r="B320" s="125" t="str">
        <f t="shared" si="28"/>
        <v/>
      </c>
      <c r="C320" s="48"/>
      <c r="D320" s="124"/>
      <c r="E320" s="129" t="str">
        <f>IF(LEN(M48)&gt;0,MAX($E$63:E319)+1,"")</f>
        <v/>
      </c>
      <c r="F320" s="125" t="str">
        <f t="shared" si="29"/>
        <v/>
      </c>
      <c r="G320" s="48"/>
      <c r="H320" s="124"/>
      <c r="M320" s="121"/>
      <c r="N320" s="121"/>
      <c r="O320" s="121"/>
      <c r="P320" s="121"/>
    </row>
    <row r="321" spans="1:16" ht="20.149999999999999" hidden="1" customHeight="1">
      <c r="A321" s="129" t="str">
        <f>IF(LEN(M24)&gt;0,MAX(A$63:$A320)+1,"")</f>
        <v/>
      </c>
      <c r="B321" s="125" t="str">
        <f t="shared" si="28"/>
        <v/>
      </c>
      <c r="C321" s="48"/>
      <c r="D321" s="124"/>
      <c r="E321" s="129" t="str">
        <f>IF(LEN(M49)&gt;0,MAX($E$63:E320)+1,"")</f>
        <v/>
      </c>
      <c r="F321" s="125" t="str">
        <f t="shared" si="29"/>
        <v/>
      </c>
      <c r="G321" s="48"/>
      <c r="H321" s="124"/>
      <c r="M321" s="121"/>
      <c r="N321" s="121"/>
      <c r="O321" s="121"/>
      <c r="P321" s="121"/>
    </row>
    <row r="322" spans="1:16" ht="20.149999999999999" hidden="1" customHeight="1">
      <c r="A322" s="129" t="str">
        <f>IF(LEN(M25)&gt;0,MAX(A$63:$A321)+1,"")</f>
        <v/>
      </c>
      <c r="B322" s="125" t="str">
        <f t="shared" si="28"/>
        <v/>
      </c>
      <c r="C322" s="48"/>
      <c r="D322" s="124"/>
      <c r="E322" s="129" t="str">
        <f>IF(LEN(M50)&gt;0,MAX($E$63:E321)+1,"")</f>
        <v/>
      </c>
      <c r="F322" s="125" t="str">
        <f t="shared" si="29"/>
        <v/>
      </c>
      <c r="G322" s="48"/>
      <c r="H322" s="124"/>
      <c r="M322" s="121"/>
      <c r="N322" s="121"/>
      <c r="O322" s="121"/>
      <c r="P322" s="121"/>
    </row>
    <row r="323" spans="1:16" ht="20.149999999999999" hidden="1" customHeight="1">
      <c r="A323" s="129" t="str">
        <f>IF(LEN(N6)&gt;0,MAX(A$63:$A322)+1,"")</f>
        <v/>
      </c>
      <c r="B323" s="125" t="str">
        <f t="shared" ref="B323:B342" si="30">IF(LEN(N6)&gt;0,N6,"")</f>
        <v/>
      </c>
      <c r="C323" s="48" t="b">
        <f>IF(SUM(A323:A342)&gt;0,MIN(A323:A342))</f>
        <v>0</v>
      </c>
      <c r="D323" s="127" t="b">
        <f>IF(SUM(A323:A342)&gt;0,N5)</f>
        <v>0</v>
      </c>
      <c r="E323" s="129" t="str">
        <f>IF(LEN(N31)&gt;0,MAX($E$63:E322)+1,"")</f>
        <v/>
      </c>
      <c r="F323" s="125" t="str">
        <f>IF(LEN(N31)&gt;0,N31,"")</f>
        <v/>
      </c>
      <c r="G323" s="48" t="b">
        <f>IF(SUM(E323:E342)&gt;0,MIN(E323:E342))</f>
        <v>0</v>
      </c>
      <c r="H323" s="127" t="b">
        <f>IF(SUM(E323:E342)&gt;0,N30)</f>
        <v>0</v>
      </c>
      <c r="M323" s="121"/>
      <c r="N323" s="121"/>
      <c r="O323" s="121"/>
      <c r="P323" s="121"/>
    </row>
    <row r="324" spans="1:16" ht="20.149999999999999" hidden="1" customHeight="1">
      <c r="A324" s="129" t="str">
        <f>IF(LEN(N7)&gt;0,MAX(A$63:$A323)+1,"")</f>
        <v/>
      </c>
      <c r="B324" s="125" t="str">
        <f t="shared" si="30"/>
        <v/>
      </c>
      <c r="C324" s="48"/>
      <c r="D324" s="127"/>
      <c r="E324" s="129" t="str">
        <f>IF(LEN(N32)&gt;0,MAX($E$63:E323)+1,"")</f>
        <v/>
      </c>
      <c r="F324" s="125" t="str">
        <f t="shared" ref="F324:F342" si="31">IF(LEN(N32)&gt;0,N32,"")</f>
        <v/>
      </c>
      <c r="G324" s="48"/>
      <c r="H324" s="127"/>
      <c r="M324" s="121"/>
      <c r="N324" s="121"/>
      <c r="O324" s="121"/>
      <c r="P324" s="121"/>
    </row>
    <row r="325" spans="1:16" ht="20.149999999999999" hidden="1" customHeight="1">
      <c r="A325" s="129" t="str">
        <f>IF(LEN(N8)&gt;0,MAX(A$63:$A324)+1,"")</f>
        <v/>
      </c>
      <c r="B325" s="125" t="str">
        <f t="shared" si="30"/>
        <v/>
      </c>
      <c r="C325" s="48"/>
      <c r="D325" s="127"/>
      <c r="E325" s="129" t="str">
        <f>IF(LEN(N33)&gt;0,MAX($E$63:E324)+1,"")</f>
        <v/>
      </c>
      <c r="F325" s="125" t="str">
        <f t="shared" si="31"/>
        <v/>
      </c>
      <c r="G325" s="48"/>
      <c r="H325" s="127"/>
      <c r="M325" s="121"/>
      <c r="N325" s="121"/>
      <c r="O325" s="121"/>
      <c r="P325" s="121"/>
    </row>
    <row r="326" spans="1:16" ht="20.149999999999999" hidden="1" customHeight="1">
      <c r="A326" s="129" t="str">
        <f>IF(LEN(N9)&gt;0,MAX(A$63:$A325)+1,"")</f>
        <v/>
      </c>
      <c r="B326" s="125" t="str">
        <f t="shared" si="30"/>
        <v/>
      </c>
      <c r="C326" s="48"/>
      <c r="D326" s="127"/>
      <c r="E326" s="129" t="str">
        <f>IF(LEN(N34)&gt;0,MAX($E$63:E325)+1,"")</f>
        <v/>
      </c>
      <c r="F326" s="125" t="str">
        <f t="shared" si="31"/>
        <v/>
      </c>
      <c r="G326" s="48"/>
      <c r="H326" s="127"/>
      <c r="M326" s="121"/>
      <c r="N326" s="121"/>
      <c r="O326" s="121"/>
      <c r="P326" s="121"/>
    </row>
    <row r="327" spans="1:16" ht="20.149999999999999" hidden="1" customHeight="1">
      <c r="A327" s="129" t="str">
        <f>IF(LEN(N10)&gt;0,MAX(A$63:$A326)+1,"")</f>
        <v/>
      </c>
      <c r="B327" s="125" t="str">
        <f t="shared" si="30"/>
        <v/>
      </c>
      <c r="C327" s="48"/>
      <c r="D327" s="127"/>
      <c r="E327" s="129" t="str">
        <f>IF(LEN(N35)&gt;0,MAX($E$63:E326)+1,"")</f>
        <v/>
      </c>
      <c r="F327" s="125" t="str">
        <f t="shared" si="31"/>
        <v/>
      </c>
      <c r="G327" s="48"/>
      <c r="H327" s="127"/>
      <c r="M327" s="121"/>
      <c r="N327" s="121"/>
      <c r="O327" s="121"/>
      <c r="P327" s="121"/>
    </row>
    <row r="328" spans="1:16" ht="20.149999999999999" hidden="1" customHeight="1">
      <c r="A328" s="129" t="str">
        <f>IF(LEN(N11)&gt;0,MAX(A$63:$A327)+1,"")</f>
        <v/>
      </c>
      <c r="B328" s="125" t="str">
        <f t="shared" si="30"/>
        <v/>
      </c>
      <c r="C328" s="48"/>
      <c r="D328" s="127"/>
      <c r="E328" s="129" t="str">
        <f>IF(LEN(N36)&gt;0,MAX($E$63:E327)+1,"")</f>
        <v/>
      </c>
      <c r="F328" s="125" t="str">
        <f t="shared" si="31"/>
        <v/>
      </c>
      <c r="G328" s="48"/>
      <c r="H328" s="127"/>
      <c r="M328" s="121"/>
      <c r="N328" s="121"/>
      <c r="O328" s="121"/>
      <c r="P328" s="121"/>
    </row>
    <row r="329" spans="1:16" ht="20.149999999999999" hidden="1" customHeight="1">
      <c r="A329" s="129" t="str">
        <f>IF(LEN(N12)&gt;0,MAX(A$63:$A328)+1,"")</f>
        <v/>
      </c>
      <c r="B329" s="125" t="str">
        <f t="shared" si="30"/>
        <v/>
      </c>
      <c r="C329" s="48"/>
      <c r="D329" s="127"/>
      <c r="E329" s="129" t="str">
        <f>IF(LEN(N37)&gt;0,MAX($E$63:E328)+1,"")</f>
        <v/>
      </c>
      <c r="F329" s="125" t="str">
        <f t="shared" si="31"/>
        <v/>
      </c>
      <c r="G329" s="48"/>
      <c r="H329" s="127"/>
      <c r="M329" s="121"/>
      <c r="N329" s="121"/>
      <c r="O329" s="121"/>
      <c r="P329" s="121"/>
    </row>
    <row r="330" spans="1:16" ht="20.149999999999999" hidden="1" customHeight="1">
      <c r="A330" s="129" t="str">
        <f>IF(LEN(N13)&gt;0,MAX(A$63:$A329)+1,"")</f>
        <v/>
      </c>
      <c r="B330" s="125" t="str">
        <f t="shared" si="30"/>
        <v/>
      </c>
      <c r="C330" s="48"/>
      <c r="D330" s="127"/>
      <c r="E330" s="129" t="str">
        <f>IF(LEN(N38)&gt;0,MAX($E$63:E329)+1,"")</f>
        <v/>
      </c>
      <c r="F330" s="125" t="str">
        <f t="shared" si="31"/>
        <v/>
      </c>
      <c r="G330" s="48"/>
      <c r="H330" s="127"/>
      <c r="M330" s="121"/>
      <c r="N330" s="121"/>
      <c r="O330" s="121"/>
      <c r="P330" s="121"/>
    </row>
    <row r="331" spans="1:16" ht="20.149999999999999" hidden="1" customHeight="1">
      <c r="A331" s="129" t="str">
        <f>IF(LEN(N14)&gt;0,MAX(A$63:$A330)+1,"")</f>
        <v/>
      </c>
      <c r="B331" s="125" t="str">
        <f t="shared" si="30"/>
        <v/>
      </c>
      <c r="C331" s="48"/>
      <c r="D331" s="127"/>
      <c r="E331" s="129" t="str">
        <f>IF(LEN(N39)&gt;0,MAX($E$63:E330)+1,"")</f>
        <v/>
      </c>
      <c r="F331" s="125" t="str">
        <f t="shared" si="31"/>
        <v/>
      </c>
      <c r="G331" s="48"/>
      <c r="H331" s="127"/>
      <c r="M331" s="121"/>
      <c r="N331" s="121"/>
      <c r="O331" s="121"/>
      <c r="P331" s="121"/>
    </row>
    <row r="332" spans="1:16" ht="20.149999999999999" hidden="1" customHeight="1">
      <c r="A332" s="129" t="str">
        <f>IF(LEN(N15)&gt;0,MAX(A$63:$A331)+1,"")</f>
        <v/>
      </c>
      <c r="B332" s="125" t="str">
        <f t="shared" si="30"/>
        <v/>
      </c>
      <c r="C332" s="48"/>
      <c r="D332" s="127"/>
      <c r="E332" s="129" t="str">
        <f>IF(LEN(N40)&gt;0,MAX($E$63:E331)+1,"")</f>
        <v/>
      </c>
      <c r="F332" s="125" t="str">
        <f t="shared" si="31"/>
        <v/>
      </c>
      <c r="G332" s="48"/>
      <c r="H332" s="127"/>
      <c r="M332" s="121"/>
      <c r="N332" s="121"/>
      <c r="O332" s="121"/>
      <c r="P332" s="121"/>
    </row>
    <row r="333" spans="1:16" ht="20.149999999999999" hidden="1" customHeight="1">
      <c r="A333" s="129" t="str">
        <f>IF(LEN(N16)&gt;0,MAX(A$63:$A332)+1,"")</f>
        <v/>
      </c>
      <c r="B333" s="125" t="str">
        <f t="shared" si="30"/>
        <v/>
      </c>
      <c r="C333" s="48"/>
      <c r="D333" s="127"/>
      <c r="E333" s="129" t="str">
        <f>IF(LEN(N41)&gt;0,MAX($E$63:E332)+1,"")</f>
        <v/>
      </c>
      <c r="F333" s="125" t="str">
        <f t="shared" si="31"/>
        <v/>
      </c>
      <c r="G333" s="48"/>
      <c r="H333" s="127"/>
      <c r="M333" s="121"/>
      <c r="N333" s="121"/>
      <c r="O333" s="121"/>
      <c r="P333" s="121"/>
    </row>
    <row r="334" spans="1:16" ht="20.149999999999999" hidden="1" customHeight="1">
      <c r="A334" s="129" t="str">
        <f>IF(LEN(N17)&gt;0,MAX(A$63:$A333)+1,"")</f>
        <v/>
      </c>
      <c r="B334" s="125" t="str">
        <f t="shared" si="30"/>
        <v/>
      </c>
      <c r="C334" s="48"/>
      <c r="D334" s="127"/>
      <c r="E334" s="129" t="str">
        <f>IF(LEN(N42)&gt;0,MAX($E$63:E333)+1,"")</f>
        <v/>
      </c>
      <c r="F334" s="125" t="str">
        <f t="shared" si="31"/>
        <v/>
      </c>
      <c r="G334" s="48"/>
      <c r="H334" s="127"/>
      <c r="M334" s="121"/>
      <c r="N334" s="121"/>
      <c r="O334" s="121"/>
      <c r="P334" s="121"/>
    </row>
    <row r="335" spans="1:16" ht="20.149999999999999" hidden="1" customHeight="1">
      <c r="A335" s="129" t="str">
        <f>IF(LEN(N18)&gt;0,MAX(A$63:$A334)+1,"")</f>
        <v/>
      </c>
      <c r="B335" s="125" t="str">
        <f t="shared" si="30"/>
        <v/>
      </c>
      <c r="C335" s="48"/>
      <c r="D335" s="127"/>
      <c r="E335" s="129" t="str">
        <f>IF(LEN(N43)&gt;0,MAX($E$63:E334)+1,"")</f>
        <v/>
      </c>
      <c r="F335" s="125" t="str">
        <f t="shared" si="31"/>
        <v/>
      </c>
      <c r="G335" s="48"/>
      <c r="H335" s="127"/>
      <c r="M335" s="121"/>
      <c r="N335" s="121"/>
      <c r="O335" s="121"/>
      <c r="P335" s="121"/>
    </row>
    <row r="336" spans="1:16" ht="20.149999999999999" hidden="1" customHeight="1">
      <c r="A336" s="129" t="str">
        <f>IF(LEN(N19)&gt;0,MAX(A$63:$A335)+1,"")</f>
        <v/>
      </c>
      <c r="B336" s="125" t="str">
        <f t="shared" si="30"/>
        <v/>
      </c>
      <c r="C336" s="48"/>
      <c r="D336" s="127"/>
      <c r="E336" s="129" t="str">
        <f>IF(LEN(N44)&gt;0,MAX($E$63:E335)+1,"")</f>
        <v/>
      </c>
      <c r="F336" s="125" t="str">
        <f t="shared" si="31"/>
        <v/>
      </c>
      <c r="G336" s="48"/>
      <c r="H336" s="127"/>
      <c r="M336" s="121"/>
      <c r="N336" s="121"/>
      <c r="O336" s="121"/>
      <c r="P336" s="121"/>
    </row>
    <row r="337" spans="1:16" ht="20.149999999999999" hidden="1" customHeight="1">
      <c r="A337" s="129" t="str">
        <f>IF(LEN(N20)&gt;0,MAX(A$63:$A336)+1,"")</f>
        <v/>
      </c>
      <c r="B337" s="125" t="str">
        <f t="shared" si="30"/>
        <v/>
      </c>
      <c r="C337" s="48"/>
      <c r="D337" s="127"/>
      <c r="E337" s="129" t="str">
        <f>IF(LEN(N45)&gt;0,MAX($E$63:E336)+1,"")</f>
        <v/>
      </c>
      <c r="F337" s="125" t="str">
        <f t="shared" si="31"/>
        <v/>
      </c>
      <c r="G337" s="48"/>
      <c r="H337" s="127"/>
      <c r="M337" s="121"/>
      <c r="N337" s="121"/>
      <c r="O337" s="121"/>
      <c r="P337" s="121"/>
    </row>
    <row r="338" spans="1:16" ht="20.149999999999999" hidden="1" customHeight="1">
      <c r="A338" s="129" t="str">
        <f>IF(LEN(N21)&gt;0,MAX(A$63:$A337)+1,"")</f>
        <v/>
      </c>
      <c r="B338" s="125" t="str">
        <f t="shared" si="30"/>
        <v/>
      </c>
      <c r="C338" s="48"/>
      <c r="D338" s="124"/>
      <c r="E338" s="129" t="str">
        <f>IF(LEN(N46)&gt;0,MAX($E$63:E337)+1,"")</f>
        <v/>
      </c>
      <c r="F338" s="125" t="str">
        <f t="shared" si="31"/>
        <v/>
      </c>
      <c r="G338" s="48"/>
      <c r="H338" s="124"/>
      <c r="M338" s="121"/>
      <c r="N338" s="121"/>
      <c r="O338" s="121"/>
      <c r="P338" s="121"/>
    </row>
    <row r="339" spans="1:16" ht="20.149999999999999" hidden="1" customHeight="1">
      <c r="A339" s="129" t="str">
        <f>IF(LEN(N22)&gt;0,MAX(A$63:$A338)+1,"")</f>
        <v/>
      </c>
      <c r="B339" s="125" t="str">
        <f t="shared" si="30"/>
        <v/>
      </c>
      <c r="C339" s="48"/>
      <c r="D339" s="124"/>
      <c r="E339" s="129" t="str">
        <f>IF(LEN(N47)&gt;0,MAX($E$63:E338)+1,"")</f>
        <v/>
      </c>
      <c r="F339" s="125" t="str">
        <f t="shared" si="31"/>
        <v/>
      </c>
      <c r="G339" s="48"/>
      <c r="H339" s="124"/>
      <c r="M339" s="121"/>
      <c r="N339" s="121"/>
      <c r="O339" s="121"/>
      <c r="P339" s="121"/>
    </row>
    <row r="340" spans="1:16" ht="20.149999999999999" hidden="1" customHeight="1">
      <c r="A340" s="129" t="str">
        <f>IF(LEN(N23)&gt;0,MAX(A$63:$A339)+1,"")</f>
        <v/>
      </c>
      <c r="B340" s="125" t="str">
        <f t="shared" si="30"/>
        <v/>
      </c>
      <c r="C340" s="48"/>
      <c r="D340" s="124"/>
      <c r="E340" s="129" t="str">
        <f>IF(LEN(N48)&gt;0,MAX($E$63:E339)+1,"")</f>
        <v/>
      </c>
      <c r="F340" s="125" t="str">
        <f t="shared" si="31"/>
        <v/>
      </c>
      <c r="G340" s="48"/>
      <c r="H340" s="124"/>
      <c r="M340" s="121"/>
      <c r="N340" s="121"/>
      <c r="O340" s="121"/>
      <c r="P340" s="121"/>
    </row>
    <row r="341" spans="1:16" ht="20.149999999999999" hidden="1" customHeight="1">
      <c r="A341" s="129" t="str">
        <f>IF(LEN(N24)&gt;0,MAX(A$63:$A340)+1,"")</f>
        <v/>
      </c>
      <c r="B341" s="125" t="str">
        <f t="shared" si="30"/>
        <v/>
      </c>
      <c r="C341" s="48"/>
      <c r="D341" s="124"/>
      <c r="E341" s="129" t="str">
        <f>IF(LEN(N49)&gt;0,MAX($E$63:E340)+1,"")</f>
        <v/>
      </c>
      <c r="F341" s="125" t="str">
        <f t="shared" si="31"/>
        <v/>
      </c>
      <c r="G341" s="48"/>
      <c r="H341" s="124"/>
      <c r="M341" s="121"/>
      <c r="N341" s="121"/>
      <c r="O341" s="121"/>
      <c r="P341" s="121"/>
    </row>
    <row r="342" spans="1:16" ht="20.149999999999999" hidden="1" customHeight="1">
      <c r="A342" s="129" t="str">
        <f>IF(LEN(N25)&gt;0,MAX(A$63:$A341)+1,"")</f>
        <v/>
      </c>
      <c r="B342" s="125" t="str">
        <f t="shared" si="30"/>
        <v/>
      </c>
      <c r="C342" s="48"/>
      <c r="D342" s="124"/>
      <c r="E342" s="129" t="str">
        <f>IF(LEN(N50)&gt;0,MAX($E$63:E341)+1,"")</f>
        <v/>
      </c>
      <c r="F342" s="125" t="str">
        <f t="shared" si="31"/>
        <v/>
      </c>
      <c r="G342" s="48"/>
      <c r="H342" s="124"/>
      <c r="M342" s="121"/>
      <c r="N342" s="121"/>
      <c r="O342" s="121"/>
      <c r="P342" s="121"/>
    </row>
    <row r="343" spans="1:16" ht="20.149999999999999" hidden="1" customHeight="1">
      <c r="A343" s="129" t="str">
        <f>IF(LEN(O6)&gt;0,MAX(A$63:$A342)+1,"")</f>
        <v/>
      </c>
      <c r="B343" s="125" t="str">
        <f>IF(LEN(O6)&gt;0,O6,"")</f>
        <v/>
      </c>
      <c r="C343" s="48" t="b">
        <f>IF(SUM(A343:A362)&gt;0,MIN(A343:A362))</f>
        <v>0</v>
      </c>
      <c r="D343" s="127" t="b">
        <f>IF(SUM(A343:A362)&gt;0,O5)</f>
        <v>0</v>
      </c>
      <c r="E343" s="129" t="str">
        <f>IF(LEN(O31)&gt;0,MAX($E$63:E342)+1,"")</f>
        <v/>
      </c>
      <c r="F343" s="125" t="str">
        <f>IF(LEN(O31)&gt;0,O31,"")</f>
        <v/>
      </c>
      <c r="G343" s="48" t="b">
        <f>IF(SUM(E343:E362)&gt;0,MIN(E343:E362))</f>
        <v>0</v>
      </c>
      <c r="H343" s="127" t="b">
        <f>IF(SUM(E343:E362)&gt;0,O30)</f>
        <v>0</v>
      </c>
      <c r="M343" s="121"/>
      <c r="N343" s="121"/>
      <c r="O343" s="121"/>
      <c r="P343" s="121"/>
    </row>
    <row r="344" spans="1:16" ht="20.149999999999999" hidden="1" customHeight="1">
      <c r="A344" s="129" t="str">
        <f>IF(LEN(O7)&gt;0,MAX(A$63:$A343)+1,"")</f>
        <v/>
      </c>
      <c r="B344" s="125" t="str">
        <f t="shared" ref="B344:B362" si="32">IF(LEN(O7)&gt;0,O7,"")</f>
        <v/>
      </c>
      <c r="C344" s="48"/>
      <c r="D344" s="127"/>
      <c r="E344" s="129" t="str">
        <f>IF(LEN(O32)&gt;0,MAX($E$63:E343)+1,"")</f>
        <v/>
      </c>
      <c r="F344" s="125" t="str">
        <f t="shared" ref="F344:F362" si="33">IF(LEN(O32)&gt;0,O32,"")</f>
        <v/>
      </c>
      <c r="G344" s="48"/>
      <c r="H344" s="127"/>
      <c r="M344" s="121"/>
      <c r="N344" s="121"/>
      <c r="O344" s="121"/>
      <c r="P344" s="121"/>
    </row>
    <row r="345" spans="1:16" ht="20.149999999999999" hidden="1" customHeight="1">
      <c r="A345" s="129" t="str">
        <f>IF(LEN(O8)&gt;0,MAX(A$63:$A344)+1,"")</f>
        <v/>
      </c>
      <c r="B345" s="125" t="str">
        <f t="shared" si="32"/>
        <v/>
      </c>
      <c r="C345" s="48"/>
      <c r="D345" s="127"/>
      <c r="E345" s="129" t="str">
        <f>IF(LEN(O33)&gt;0,MAX($E$63:E344)+1,"")</f>
        <v/>
      </c>
      <c r="F345" s="125" t="str">
        <f t="shared" si="33"/>
        <v/>
      </c>
      <c r="G345" s="48"/>
      <c r="H345" s="127"/>
      <c r="M345" s="121"/>
      <c r="N345" s="121"/>
      <c r="O345" s="121"/>
      <c r="P345" s="121"/>
    </row>
    <row r="346" spans="1:16" ht="20.149999999999999" hidden="1" customHeight="1">
      <c r="A346" s="129" t="str">
        <f>IF(LEN(O9)&gt;0,MAX(A$63:$A345)+1,"")</f>
        <v/>
      </c>
      <c r="B346" s="125" t="str">
        <f t="shared" si="32"/>
        <v/>
      </c>
      <c r="C346" s="48"/>
      <c r="D346" s="127"/>
      <c r="E346" s="129" t="str">
        <f>IF(LEN(O34)&gt;0,MAX($E$63:E345)+1,"")</f>
        <v/>
      </c>
      <c r="F346" s="125" t="str">
        <f t="shared" si="33"/>
        <v/>
      </c>
      <c r="G346" s="48"/>
      <c r="H346" s="127"/>
      <c r="M346" s="121"/>
      <c r="N346" s="121"/>
      <c r="O346" s="121"/>
      <c r="P346" s="121"/>
    </row>
    <row r="347" spans="1:16" ht="20.149999999999999" hidden="1" customHeight="1">
      <c r="A347" s="129" t="str">
        <f>IF(LEN(O10)&gt;0,MAX(A$63:$A346)+1,"")</f>
        <v/>
      </c>
      <c r="B347" s="125" t="str">
        <f t="shared" si="32"/>
        <v/>
      </c>
      <c r="C347" s="48"/>
      <c r="D347" s="127"/>
      <c r="E347" s="129" t="str">
        <f>IF(LEN(O35)&gt;0,MAX($E$63:E346)+1,"")</f>
        <v/>
      </c>
      <c r="F347" s="125" t="str">
        <f t="shared" si="33"/>
        <v/>
      </c>
      <c r="G347" s="48"/>
      <c r="H347" s="127"/>
      <c r="M347" s="121"/>
      <c r="N347" s="121"/>
      <c r="O347" s="121"/>
      <c r="P347" s="121"/>
    </row>
    <row r="348" spans="1:16" ht="20.149999999999999" hidden="1" customHeight="1">
      <c r="A348" s="129" t="str">
        <f>IF(LEN(O11)&gt;0,MAX(A$63:$A347)+1,"")</f>
        <v/>
      </c>
      <c r="B348" s="125" t="str">
        <f t="shared" si="32"/>
        <v/>
      </c>
      <c r="C348" s="48"/>
      <c r="D348" s="127"/>
      <c r="E348" s="129" t="str">
        <f>IF(LEN(O36)&gt;0,MAX($E$63:E347)+1,"")</f>
        <v/>
      </c>
      <c r="F348" s="125" t="str">
        <f t="shared" si="33"/>
        <v/>
      </c>
      <c r="G348" s="48"/>
      <c r="H348" s="127"/>
      <c r="M348" s="121"/>
      <c r="N348" s="121"/>
      <c r="O348" s="121"/>
      <c r="P348" s="121"/>
    </row>
    <row r="349" spans="1:16" ht="20.149999999999999" hidden="1" customHeight="1">
      <c r="A349" s="129" t="str">
        <f>IF(LEN(O12)&gt;0,MAX(A$63:$A348)+1,"")</f>
        <v/>
      </c>
      <c r="B349" s="125" t="str">
        <f t="shared" si="32"/>
        <v/>
      </c>
      <c r="C349" s="48"/>
      <c r="D349" s="127"/>
      <c r="E349" s="129" t="str">
        <f>IF(LEN(O37)&gt;0,MAX($E$63:E348)+1,"")</f>
        <v/>
      </c>
      <c r="F349" s="125" t="str">
        <f t="shared" si="33"/>
        <v/>
      </c>
      <c r="G349" s="48"/>
      <c r="H349" s="127"/>
      <c r="M349" s="121"/>
      <c r="N349" s="121"/>
      <c r="O349" s="121"/>
      <c r="P349" s="121"/>
    </row>
    <row r="350" spans="1:16" ht="20.149999999999999" hidden="1" customHeight="1">
      <c r="A350" s="129" t="str">
        <f>IF(LEN(O13)&gt;0,MAX(A$63:$A349)+1,"")</f>
        <v/>
      </c>
      <c r="B350" s="125" t="str">
        <f t="shared" si="32"/>
        <v/>
      </c>
      <c r="C350" s="48"/>
      <c r="D350" s="127"/>
      <c r="E350" s="129" t="str">
        <f>IF(LEN(O38)&gt;0,MAX($E$63:E349)+1,"")</f>
        <v/>
      </c>
      <c r="F350" s="125" t="str">
        <f t="shared" si="33"/>
        <v/>
      </c>
      <c r="G350" s="48"/>
      <c r="H350" s="127"/>
      <c r="M350" s="121"/>
      <c r="N350" s="121"/>
      <c r="O350" s="121"/>
      <c r="P350" s="121"/>
    </row>
    <row r="351" spans="1:16" ht="20.149999999999999" hidden="1" customHeight="1">
      <c r="A351" s="129" t="str">
        <f>IF(LEN(O14)&gt;0,MAX(A$63:$A350)+1,"")</f>
        <v/>
      </c>
      <c r="B351" s="125" t="str">
        <f t="shared" si="32"/>
        <v/>
      </c>
      <c r="C351" s="48"/>
      <c r="D351" s="127"/>
      <c r="E351" s="129" t="str">
        <f>IF(LEN(O39)&gt;0,MAX($E$63:E350)+1,"")</f>
        <v/>
      </c>
      <c r="F351" s="125" t="str">
        <f t="shared" si="33"/>
        <v/>
      </c>
      <c r="G351" s="48"/>
      <c r="H351" s="127"/>
      <c r="M351" s="121"/>
      <c r="N351" s="121"/>
      <c r="O351" s="121"/>
      <c r="P351" s="121"/>
    </row>
    <row r="352" spans="1:16" ht="20.149999999999999" hidden="1" customHeight="1">
      <c r="A352" s="129" t="str">
        <f>IF(LEN(O15)&gt;0,MAX(A$63:$A351)+1,"")</f>
        <v/>
      </c>
      <c r="B352" s="125" t="str">
        <f t="shared" si="32"/>
        <v/>
      </c>
      <c r="C352" s="48"/>
      <c r="D352" s="127"/>
      <c r="E352" s="129" t="str">
        <f>IF(LEN(O40)&gt;0,MAX($E$63:E351)+1,"")</f>
        <v/>
      </c>
      <c r="F352" s="125" t="str">
        <f t="shared" si="33"/>
        <v/>
      </c>
      <c r="G352" s="48"/>
      <c r="H352" s="127"/>
      <c r="M352" s="121"/>
      <c r="N352" s="121"/>
      <c r="O352" s="121"/>
      <c r="P352" s="121"/>
    </row>
    <row r="353" spans="1:16" ht="20.149999999999999" hidden="1" customHeight="1">
      <c r="A353" s="129" t="str">
        <f>IF(LEN(O16)&gt;0,MAX(A$63:$A352)+1,"")</f>
        <v/>
      </c>
      <c r="B353" s="125" t="str">
        <f t="shared" si="32"/>
        <v/>
      </c>
      <c r="C353" s="48"/>
      <c r="D353" s="127"/>
      <c r="E353" s="129" t="str">
        <f>IF(LEN(O41)&gt;0,MAX($E$63:E352)+1,"")</f>
        <v/>
      </c>
      <c r="F353" s="125" t="str">
        <f t="shared" si="33"/>
        <v/>
      </c>
      <c r="G353" s="48"/>
      <c r="H353" s="127"/>
      <c r="M353" s="121"/>
      <c r="N353" s="121"/>
      <c r="O353" s="121"/>
      <c r="P353" s="121"/>
    </row>
    <row r="354" spans="1:16" ht="20.149999999999999" hidden="1" customHeight="1">
      <c r="A354" s="129" t="str">
        <f>IF(LEN(O17)&gt;0,MAX(A$63:$A353)+1,"")</f>
        <v/>
      </c>
      <c r="B354" s="125" t="str">
        <f t="shared" si="32"/>
        <v/>
      </c>
      <c r="C354" s="48"/>
      <c r="D354" s="127"/>
      <c r="E354" s="129" t="str">
        <f>IF(LEN(O42)&gt;0,MAX($E$63:E353)+1,"")</f>
        <v/>
      </c>
      <c r="F354" s="125" t="str">
        <f t="shared" si="33"/>
        <v/>
      </c>
      <c r="G354" s="48"/>
      <c r="H354" s="127"/>
      <c r="M354" s="121"/>
      <c r="N354" s="121"/>
      <c r="O354" s="121"/>
      <c r="P354" s="121"/>
    </row>
    <row r="355" spans="1:16" ht="20.149999999999999" hidden="1" customHeight="1">
      <c r="A355" s="129" t="str">
        <f>IF(LEN(O18)&gt;0,MAX(A$63:$A354)+1,"")</f>
        <v/>
      </c>
      <c r="B355" s="125" t="str">
        <f t="shared" si="32"/>
        <v/>
      </c>
      <c r="C355" s="48"/>
      <c r="D355" s="127"/>
      <c r="E355" s="129" t="str">
        <f>IF(LEN(O43)&gt;0,MAX($E$63:E354)+1,"")</f>
        <v/>
      </c>
      <c r="F355" s="125" t="str">
        <f t="shared" si="33"/>
        <v/>
      </c>
      <c r="G355" s="48"/>
      <c r="H355" s="127"/>
      <c r="M355" s="121"/>
      <c r="N355" s="121"/>
      <c r="O355" s="121"/>
      <c r="P355" s="121"/>
    </row>
    <row r="356" spans="1:16" ht="20.149999999999999" hidden="1" customHeight="1">
      <c r="A356" s="129" t="str">
        <f>IF(LEN(O19)&gt;0,MAX(A$63:$A355)+1,"")</f>
        <v/>
      </c>
      <c r="B356" s="125" t="str">
        <f t="shared" si="32"/>
        <v/>
      </c>
      <c r="C356" s="48"/>
      <c r="D356" s="127"/>
      <c r="E356" s="129" t="str">
        <f>IF(LEN(O44)&gt;0,MAX($E$63:E355)+1,"")</f>
        <v/>
      </c>
      <c r="F356" s="125" t="str">
        <f t="shared" si="33"/>
        <v/>
      </c>
      <c r="G356" s="48"/>
      <c r="H356" s="127"/>
      <c r="M356" s="121"/>
      <c r="N356" s="121"/>
      <c r="O356" s="121"/>
      <c r="P356" s="121"/>
    </row>
    <row r="357" spans="1:16" ht="20.149999999999999" hidden="1" customHeight="1">
      <c r="A357" s="129" t="str">
        <f>IF(LEN(O20)&gt;0,MAX(A$63:$A356)+1,"")</f>
        <v/>
      </c>
      <c r="B357" s="125" t="str">
        <f t="shared" si="32"/>
        <v/>
      </c>
      <c r="C357" s="48"/>
      <c r="D357" s="127"/>
      <c r="E357" s="129" t="str">
        <f>IF(LEN(O45)&gt;0,MAX($E$63:E356)+1,"")</f>
        <v/>
      </c>
      <c r="F357" s="125" t="str">
        <f t="shared" si="33"/>
        <v/>
      </c>
      <c r="G357" s="48"/>
      <c r="H357" s="127"/>
      <c r="M357" s="121"/>
      <c r="N357" s="121"/>
      <c r="O357" s="121"/>
      <c r="P357" s="121"/>
    </row>
    <row r="358" spans="1:16" ht="20.149999999999999" hidden="1" customHeight="1">
      <c r="A358" s="129" t="str">
        <f>IF(LEN(O21)&gt;0,MAX(A$63:$A357)+1,"")</f>
        <v/>
      </c>
      <c r="B358" s="125" t="str">
        <f t="shared" si="32"/>
        <v/>
      </c>
      <c r="C358" s="48"/>
      <c r="D358" s="124"/>
      <c r="E358" s="129" t="str">
        <f>IF(LEN(O46)&gt;0,MAX($E$63:E357)+1,"")</f>
        <v/>
      </c>
      <c r="F358" s="125" t="str">
        <f t="shared" si="33"/>
        <v/>
      </c>
      <c r="G358" s="48"/>
      <c r="H358" s="124"/>
      <c r="M358" s="121"/>
      <c r="N358" s="121"/>
      <c r="O358" s="121"/>
      <c r="P358" s="121"/>
    </row>
    <row r="359" spans="1:16" ht="20.149999999999999" hidden="1" customHeight="1">
      <c r="A359" s="129" t="str">
        <f>IF(LEN(O22)&gt;0,MAX(A$63:$A358)+1,"")</f>
        <v/>
      </c>
      <c r="B359" s="125" t="str">
        <f t="shared" si="32"/>
        <v/>
      </c>
      <c r="C359" s="48"/>
      <c r="D359" s="124"/>
      <c r="E359" s="129" t="str">
        <f>IF(LEN(O47)&gt;0,MAX($E$63:E358)+1,"")</f>
        <v/>
      </c>
      <c r="F359" s="125" t="str">
        <f t="shared" si="33"/>
        <v/>
      </c>
      <c r="G359" s="48"/>
      <c r="H359" s="124"/>
      <c r="M359" s="121"/>
      <c r="N359" s="121"/>
      <c r="O359" s="121"/>
      <c r="P359" s="121"/>
    </row>
    <row r="360" spans="1:16" ht="20.149999999999999" hidden="1" customHeight="1">
      <c r="A360" s="129" t="str">
        <f>IF(LEN(O23)&gt;0,MAX(A$63:$A359)+1,"")</f>
        <v/>
      </c>
      <c r="B360" s="125" t="str">
        <f t="shared" si="32"/>
        <v/>
      </c>
      <c r="C360" s="48"/>
      <c r="D360" s="124"/>
      <c r="E360" s="129" t="str">
        <f>IF(LEN(O48)&gt;0,MAX($E$63:E359)+1,"")</f>
        <v/>
      </c>
      <c r="F360" s="125" t="str">
        <f t="shared" si="33"/>
        <v/>
      </c>
      <c r="G360" s="48"/>
      <c r="H360" s="124"/>
      <c r="M360" s="121"/>
      <c r="N360" s="121"/>
      <c r="O360" s="121"/>
      <c r="P360" s="121"/>
    </row>
    <row r="361" spans="1:16" ht="20.149999999999999" hidden="1" customHeight="1">
      <c r="A361" s="129" t="str">
        <f>IF(LEN(O24)&gt;0,MAX(A$63:$A360)+1,"")</f>
        <v/>
      </c>
      <c r="B361" s="125" t="str">
        <f t="shared" si="32"/>
        <v/>
      </c>
      <c r="C361" s="48"/>
      <c r="D361" s="124"/>
      <c r="E361" s="129" t="str">
        <f>IF(LEN(O49)&gt;0,MAX($E$63:E360)+1,"")</f>
        <v/>
      </c>
      <c r="F361" s="125" t="str">
        <f t="shared" si="33"/>
        <v/>
      </c>
      <c r="G361" s="48"/>
      <c r="H361" s="124"/>
      <c r="M361" s="121"/>
      <c r="N361" s="121"/>
      <c r="O361" s="121"/>
      <c r="P361" s="121"/>
    </row>
    <row r="362" spans="1:16" ht="20.149999999999999" hidden="1" customHeight="1">
      <c r="A362" s="129" t="str">
        <f>IF(LEN(O25)&gt;0,MAX(A$63:$A361)+1,"")</f>
        <v/>
      </c>
      <c r="B362" s="125" t="str">
        <f t="shared" si="32"/>
        <v/>
      </c>
      <c r="C362" s="48"/>
      <c r="D362" s="124"/>
      <c r="E362" s="129" t="str">
        <f>IF(LEN(O50)&gt;0,MAX($E$63:E361)+1,"")</f>
        <v/>
      </c>
      <c r="F362" s="125" t="str">
        <f t="shared" si="33"/>
        <v/>
      </c>
      <c r="G362" s="48"/>
      <c r="H362" s="124"/>
      <c r="M362" s="121"/>
      <c r="N362" s="121"/>
      <c r="O362" s="121"/>
      <c r="P362" s="121"/>
    </row>
  </sheetData>
  <sheetProtection algorithmName="SHA-512" hashValue="TLqZw7nqIm4FJ7VRwFIvoNAqPQiyEu7LyKMPiP76PgBbaO8pVYv+3UPEa8P4lkK6PhC7neEai57xtzhqBhIm5g==" saltValue="Mpf06qaNgDKOYoxq4T8W7w==" spinCount="100000" sheet="1" selectLockedCells="1"/>
  <mergeCells count="4">
    <mergeCell ref="B4:L4"/>
    <mergeCell ref="B29:O29"/>
    <mergeCell ref="E2:O2"/>
    <mergeCell ref="G1:O1"/>
  </mergeCells>
  <phoneticPr fontId="2" type="noConversion"/>
  <conditionalFormatting sqref="B29">
    <cfRule type="expression" dxfId="10" priority="16">
      <formula>LEN(B29)&gt;0</formula>
    </cfRule>
  </conditionalFormatting>
  <conditionalFormatting sqref="G1">
    <cfRule type="expression" dxfId="9" priority="15">
      <formula>OR(LEN(부서명)=0,LEN(회계년도)=0)</formula>
    </cfRule>
  </conditionalFormatting>
  <conditionalFormatting sqref="H30:O30">
    <cfRule type="expression" dxfId="8" priority="14">
      <formula>H$51="관입력누락"</formula>
    </cfRule>
  </conditionalFormatting>
  <conditionalFormatting sqref="A30:O30">
    <cfRule type="duplicateValues" dxfId="7" priority="11"/>
  </conditionalFormatting>
  <conditionalFormatting sqref="A31:O50">
    <cfRule type="duplicateValues" dxfId="6" priority="9"/>
  </conditionalFormatting>
  <conditionalFormatting sqref="A18:O25 A17:H17 J17:O17 A6:O16">
    <cfRule type="duplicateValues" dxfId="5" priority="6"/>
  </conditionalFormatting>
  <conditionalFormatting sqref="B4:L4">
    <cfRule type="expression" dxfId="4" priority="3">
      <formula>LEN(B4)&gt;0</formula>
    </cfRule>
  </conditionalFormatting>
  <conditionalFormatting sqref="E2">
    <cfRule type="expression" dxfId="3" priority="2">
      <formula>LEN(E2)&gt;0</formula>
    </cfRule>
  </conditionalFormatting>
  <conditionalFormatting sqref="A5:O5">
    <cfRule type="expression" dxfId="2" priority="46818">
      <formula>A$26="관입력누락"</formula>
    </cfRule>
    <cfRule type="duplicateValues" dxfId="1" priority="46819"/>
  </conditionalFormatting>
  <conditionalFormatting sqref="B1 B2:C2 D1:D2 F1">
    <cfRule type="containsBlanks" dxfId="0" priority="46820">
      <formula>LEN(TRIM(B1))=0</formula>
    </cfRule>
  </conditionalFormatting>
  <dataValidations count="1">
    <dataValidation type="whole" allowBlank="1" showInputMessage="1" showErrorMessage="1" errorTitle="회계년도 입력 오류" error="회계년도는 숫자 4자리만 입력하세요. (예: 2021년은 2021)" sqref="F1" xr:uid="{5E8BC9AF-4BE5-4F93-ADF0-E82ACF7CCE79}">
      <formula1>1990</formula1>
      <formula2>2999</formula2>
    </dataValidation>
  </dataValidations>
  <pageMargins left="0.70866141732283472" right="0.70866141732283472" top="0.39370078740157483" bottom="0.74803149606299213" header="0.31496062992125984" footer="0.31496062992125984"/>
  <pageSetup paperSize="9" scale="9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1DD6-1FA3-4131-845E-67BB0CB01E27}">
  <dimension ref="A1:E17"/>
  <sheetViews>
    <sheetView workbookViewId="0">
      <pane ySplit="1" topLeftCell="A2" activePane="bottomLeft" state="frozen"/>
      <selection pane="bottomLeft" activeCell="C21" sqref="C21"/>
    </sheetView>
  </sheetViews>
  <sheetFormatPr defaultRowHeight="20.149999999999999" customHeight="1"/>
  <cols>
    <col min="1" max="1" width="12.75" style="80" customWidth="1"/>
    <col min="2" max="2" width="14" style="80" customWidth="1"/>
    <col min="3" max="3" width="75.08203125" customWidth="1"/>
    <col min="4" max="4" width="10.08203125" style="1" customWidth="1"/>
    <col min="5" max="5" width="45.33203125" customWidth="1"/>
  </cols>
  <sheetData>
    <row r="1" spans="1:5" s="1" customFormat="1" ht="20.149999999999999" customHeight="1">
      <c r="A1" s="173" t="s">
        <v>102</v>
      </c>
      <c r="B1" s="173" t="s">
        <v>145</v>
      </c>
      <c r="C1" s="174" t="s">
        <v>103</v>
      </c>
      <c r="D1" s="174" t="s">
        <v>104</v>
      </c>
      <c r="E1" s="174" t="s">
        <v>106</v>
      </c>
    </row>
    <row r="2" spans="1:5" ht="20.149999999999999" customHeight="1">
      <c r="A2" s="80">
        <v>44025</v>
      </c>
      <c r="B2" s="80" t="s">
        <v>146</v>
      </c>
      <c r="C2" t="s">
        <v>152</v>
      </c>
      <c r="D2" s="1" t="s">
        <v>105</v>
      </c>
    </row>
    <row r="3" spans="1:5" ht="20.149999999999999" customHeight="1">
      <c r="A3" s="80">
        <v>44025</v>
      </c>
      <c r="B3" s="80" t="s">
        <v>146</v>
      </c>
      <c r="C3" t="s">
        <v>153</v>
      </c>
      <c r="D3" s="1" t="s">
        <v>105</v>
      </c>
    </row>
    <row r="4" spans="1:5" ht="20.149999999999999" customHeight="1">
      <c r="A4" s="80">
        <v>44025</v>
      </c>
      <c r="B4" s="80" t="s">
        <v>146</v>
      </c>
      <c r="C4" t="s">
        <v>154</v>
      </c>
      <c r="D4" s="1" t="s">
        <v>105</v>
      </c>
    </row>
    <row r="5" spans="1:5" ht="20.149999999999999" customHeight="1">
      <c r="A5" s="80">
        <v>44025</v>
      </c>
      <c r="B5" s="80" t="s">
        <v>147</v>
      </c>
      <c r="C5" t="s">
        <v>155</v>
      </c>
      <c r="D5" s="1" t="s">
        <v>105</v>
      </c>
    </row>
    <row r="6" spans="1:5" ht="20.149999999999999" customHeight="1">
      <c r="A6" s="80">
        <v>44025</v>
      </c>
      <c r="B6" s="80" t="s">
        <v>148</v>
      </c>
      <c r="C6" t="s">
        <v>156</v>
      </c>
      <c r="D6" s="1" t="s">
        <v>105</v>
      </c>
    </row>
    <row r="7" spans="1:5" ht="20.149999999999999" customHeight="1">
      <c r="A7" s="80">
        <v>44025</v>
      </c>
      <c r="B7" s="80" t="s">
        <v>148</v>
      </c>
      <c r="C7" t="s">
        <v>157</v>
      </c>
      <c r="D7" s="1" t="s">
        <v>105</v>
      </c>
    </row>
    <row r="8" spans="1:5" ht="20.149999999999999" customHeight="1">
      <c r="A8" s="80">
        <v>44025</v>
      </c>
      <c r="B8" s="80" t="s">
        <v>149</v>
      </c>
      <c r="C8" t="s">
        <v>158</v>
      </c>
      <c r="D8" s="1" t="s">
        <v>105</v>
      </c>
    </row>
    <row r="9" spans="1:5" ht="20.149999999999999" customHeight="1">
      <c r="A9" s="80">
        <v>44229</v>
      </c>
      <c r="B9" s="80" t="s">
        <v>148</v>
      </c>
      <c r="C9" t="s">
        <v>159</v>
      </c>
      <c r="D9" s="1" t="s">
        <v>105</v>
      </c>
      <c r="E9" t="s">
        <v>142</v>
      </c>
    </row>
    <row r="10" spans="1:5" ht="20.149999999999999" customHeight="1">
      <c r="A10" s="80">
        <v>44229</v>
      </c>
      <c r="B10" s="80" t="s">
        <v>146</v>
      </c>
      <c r="C10" t="s">
        <v>143</v>
      </c>
      <c r="D10" s="1" t="s">
        <v>105</v>
      </c>
    </row>
    <row r="11" spans="1:5" ht="20.149999999999999" customHeight="1">
      <c r="A11" s="80">
        <v>44229</v>
      </c>
      <c r="B11" s="80" t="s">
        <v>150</v>
      </c>
      <c r="C11" t="s">
        <v>160</v>
      </c>
      <c r="D11" s="1" t="s">
        <v>105</v>
      </c>
      <c r="E11" t="s">
        <v>144</v>
      </c>
    </row>
    <row r="12" spans="1:5" ht="20.149999999999999" customHeight="1">
      <c r="A12" s="80">
        <v>44229</v>
      </c>
      <c r="B12" s="80" t="s">
        <v>151</v>
      </c>
      <c r="C12" t="s">
        <v>162</v>
      </c>
      <c r="D12" s="1" t="s">
        <v>105</v>
      </c>
      <c r="E12" t="s">
        <v>167</v>
      </c>
    </row>
    <row r="13" spans="1:5" ht="20.149999999999999" customHeight="1">
      <c r="A13" s="80">
        <v>44229</v>
      </c>
      <c r="B13" s="80" t="s">
        <v>148</v>
      </c>
      <c r="C13" t="s">
        <v>161</v>
      </c>
      <c r="D13" s="1" t="s">
        <v>105</v>
      </c>
      <c r="E13" t="s">
        <v>167</v>
      </c>
    </row>
    <row r="14" spans="1:5" ht="20.149999999999999" customHeight="1">
      <c r="A14" s="80">
        <v>44538</v>
      </c>
      <c r="B14" s="80" t="s">
        <v>146</v>
      </c>
      <c r="C14" t="s">
        <v>163</v>
      </c>
      <c r="D14" s="1" t="s">
        <v>105</v>
      </c>
      <c r="E14" t="s">
        <v>164</v>
      </c>
    </row>
    <row r="15" spans="1:5" ht="20.149999999999999" customHeight="1">
      <c r="A15" s="80">
        <v>44549</v>
      </c>
      <c r="B15" s="80" t="s">
        <v>146</v>
      </c>
      <c r="C15" t="s">
        <v>166</v>
      </c>
      <c r="D15" s="1" t="s">
        <v>105</v>
      </c>
    </row>
    <row r="16" spans="1:5" ht="20.149999999999999" customHeight="1">
      <c r="A16" s="80">
        <v>44559</v>
      </c>
      <c r="B16" s="80" t="s">
        <v>219</v>
      </c>
      <c r="C16" t="s">
        <v>220</v>
      </c>
      <c r="D16" s="1" t="s">
        <v>105</v>
      </c>
    </row>
    <row r="17" spans="1:4" ht="20.149999999999999" customHeight="1">
      <c r="A17" s="80">
        <v>44597</v>
      </c>
      <c r="B17" s="80" t="s">
        <v>240</v>
      </c>
      <c r="C17" t="s">
        <v>241</v>
      </c>
      <c r="D17" s="1" t="s">
        <v>105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27</vt:i4>
      </vt:variant>
    </vt:vector>
  </HeadingPairs>
  <TitlesOfParts>
    <vt:vector size="37" baseType="lpstr">
      <vt:lpstr>회계장부</vt:lpstr>
      <vt:lpstr>결의서(기본)</vt:lpstr>
      <vt:lpstr>결의서(추가)</vt:lpstr>
      <vt:lpstr>월별누계</vt:lpstr>
      <vt:lpstr>회계보고서</vt:lpstr>
      <vt:lpstr>검산서(상반기)</vt:lpstr>
      <vt:lpstr>검산서(하반기)</vt:lpstr>
      <vt:lpstr>회계코드</vt:lpstr>
      <vt:lpstr>개선사항</vt:lpstr>
      <vt:lpstr>유효성목록</vt:lpstr>
      <vt:lpstr>'검산서(상반기)'!Print_Area</vt:lpstr>
      <vt:lpstr>'검산서(하반기)'!Print_Area</vt:lpstr>
      <vt:lpstr>'결의서(기본)'!Print_Area</vt:lpstr>
      <vt:lpstr>'결의서(추가)'!Print_Area</vt:lpstr>
      <vt:lpstr>월별누계!Print_Area</vt:lpstr>
      <vt:lpstr>회계보고서!Print_Area</vt:lpstr>
      <vt:lpstr>결재란1</vt:lpstr>
      <vt:lpstr>결재란2</vt:lpstr>
      <vt:lpstr>결재란3</vt:lpstr>
      <vt:lpstr>관</vt:lpstr>
      <vt:lpstr>교회명</vt:lpstr>
      <vt:lpstr>기준일자</vt:lpstr>
      <vt:lpstr>기준일자_시작일</vt:lpstr>
      <vt:lpstr>기준일자_종료일</vt:lpstr>
      <vt:lpstr>부서명</vt:lpstr>
      <vt:lpstr>수입</vt:lpstr>
      <vt:lpstr>수입관정렬</vt:lpstr>
      <vt:lpstr>수입항목정렬</vt:lpstr>
      <vt:lpstr>전년도이월금</vt:lpstr>
      <vt:lpstr>지출</vt:lpstr>
      <vt:lpstr>지출관정렬</vt:lpstr>
      <vt:lpstr>지출항목정렬</vt:lpstr>
      <vt:lpstr>항목</vt:lpstr>
      <vt:lpstr>헌금_회비</vt:lpstr>
      <vt:lpstr>헌금항목수</vt:lpstr>
      <vt:lpstr>회계년도</vt:lpstr>
      <vt:lpstr>회계월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Bxt0830</cp:lastModifiedBy>
  <cp:lastPrinted>2022-03-17T13:58:31Z</cp:lastPrinted>
  <dcterms:created xsi:type="dcterms:W3CDTF">2014-01-05T13:45:46Z</dcterms:created>
  <dcterms:modified xsi:type="dcterms:W3CDTF">2023-02-07T13:56:25Z</dcterms:modified>
</cp:coreProperties>
</file>